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5360" windowHeight="8700" firstSheet="1" activeTab="3"/>
  </bookViews>
  <sheets>
    <sheet name="tablas y demases" sheetId="18" r:id="rId1"/>
    <sheet name="Supuestos" sheetId="1" r:id="rId2"/>
    <sheet name="TABLA GENERAL" sheetId="17" r:id="rId3"/>
    <sheet name="TABLA GENERAL FASE 1 Y 2" sheetId="15" r:id="rId4"/>
    <sheet name="ESTIMACIÓN VALOR DE COSTOS" sheetId="16" r:id="rId5"/>
    <sheet name="CCV TOTAL" sheetId="2" r:id="rId6"/>
    <sheet name="(1) CCV C41" sheetId="3" r:id="rId7"/>
    <sheet name="(2) CCV Equip. Militar" sheetId="4" r:id="rId8"/>
    <sheet name="(3) CCV Infiltración" sheetId="5" r:id="rId9"/>
    <sheet name="(4) CCV Logística" sheetId="6" r:id="rId10"/>
    <sheet name="(5) CCV Obt. Info." sheetId="7" r:id="rId11"/>
    <sheet name="(6) CCV Det. Efect." sheetId="8" r:id="rId12"/>
    <sheet name="(7) CCV At. Precis." sheetId="9" r:id="rId13"/>
    <sheet name="(8)CCV OPER. DE BUCEO" sheetId="10" r:id="rId14"/>
    <sheet name="(9) CCV OPER. REBÚSQUEDA" sheetId="11" r:id="rId15"/>
    <sheet name="(10) CCV AP. BOMB. Y FAN" sheetId="12" r:id="rId16"/>
    <sheet name="(11) CCV VIS. Y ABORDAJE" sheetId="13" r:id="rId17"/>
    <sheet name="(12) CCV AP. OPER. CONTAMINADO" sheetId="14" r:id="rId18"/>
    <sheet name="TABLA GENERAL FASE 1 Y 2 (2)" sheetId="20" r:id="rId19"/>
    <sheet name="FASE 1" sheetId="19" r:id="rId20"/>
    <sheet name="AÑO 2021" sheetId="21" r:id="rId21"/>
    <sheet name="AÑO 2022" sheetId="22" r:id="rId22"/>
    <sheet name="AÑO 2023" sheetId="23" r:id="rId23"/>
    <sheet name="TABLA GENERAL (2)" sheetId="28" r:id="rId24"/>
    <sheet name="AÑO 2021+2022" sheetId="24" r:id="rId25"/>
    <sheet name="FASE 2" sheetId="27" r:id="rId26"/>
    <sheet name="BRECHAS" sheetId="25" r:id="rId27"/>
    <sheet name="Hoja1" sheetId="29" r:id="rId28"/>
  </sheets>
  <externalReferences>
    <externalReference r:id="rId29"/>
  </externalReferences>
  <definedNames>
    <definedName name="_xlnm.Print_Area" localSheetId="25">'FASE 2'!$A$1:$K$199</definedName>
    <definedName name="_xlnm.Print_Area" localSheetId="3">'TABLA GENERAL FASE 1 Y 2'!$A$1:$S$272</definedName>
    <definedName name="_xlnm.Print_Area" localSheetId="18">'TABLA GENERAL FASE 1 Y 2 (2)'!$A$1:$S$272</definedName>
    <definedName name="datos" localSheetId="15">#REF!</definedName>
    <definedName name="datos" localSheetId="16">#REF!</definedName>
    <definedName name="datos" localSheetId="17">#REF!</definedName>
    <definedName name="datos" localSheetId="7">#REF!</definedName>
    <definedName name="datos" localSheetId="8">#REF!</definedName>
    <definedName name="datos" localSheetId="9">#REF!</definedName>
    <definedName name="datos" localSheetId="10">#REF!</definedName>
    <definedName name="datos" localSheetId="11">#REF!</definedName>
    <definedName name="datos" localSheetId="12">#REF!</definedName>
    <definedName name="datos" localSheetId="13">#REF!</definedName>
    <definedName name="datos" localSheetId="14">#REF!</definedName>
    <definedName name="datos" localSheetId="25">#REF!</definedName>
    <definedName name="datos" localSheetId="23">#REF!</definedName>
    <definedName name="datos" localSheetId="3">#REF!</definedName>
    <definedName name="datos" localSheetId="18">#REF!</definedName>
    <definedName name="datos" localSheetId="0">#REF!</definedName>
    <definedName name="datos">#REF!</definedName>
    <definedName name="Imprimir1" localSheetId="15">#REF!</definedName>
    <definedName name="Imprimir1" localSheetId="16">#REF!</definedName>
    <definedName name="Imprimir1" localSheetId="17">#REF!</definedName>
    <definedName name="Imprimir1" localSheetId="7">#REF!</definedName>
    <definedName name="Imprimir1" localSheetId="8">#REF!</definedName>
    <definedName name="Imprimir1" localSheetId="9">#REF!</definedName>
    <definedName name="Imprimir1" localSheetId="10">#REF!</definedName>
    <definedName name="Imprimir1" localSheetId="11">#REF!</definedName>
    <definedName name="Imprimir1" localSheetId="12">#REF!</definedName>
    <definedName name="Imprimir1" localSheetId="13">#REF!</definedName>
    <definedName name="Imprimir1" localSheetId="14">#REF!</definedName>
    <definedName name="Imprimir1" localSheetId="25">#REF!</definedName>
    <definedName name="Imprimir1" localSheetId="23">#REF!</definedName>
    <definedName name="Imprimir1" localSheetId="3">#REF!</definedName>
    <definedName name="Imprimir1" localSheetId="18">#REF!</definedName>
    <definedName name="Imprimir1" localSheetId="0">#REF!</definedName>
    <definedName name="Imprimir1">#REF!</definedName>
    <definedName name="Imprimir2" localSheetId="15">#REF!</definedName>
    <definedName name="Imprimir2" localSheetId="16">#REF!</definedName>
    <definedName name="Imprimir2" localSheetId="17">#REF!</definedName>
    <definedName name="Imprimir2" localSheetId="7">#REF!</definedName>
    <definedName name="Imprimir2" localSheetId="8">#REF!</definedName>
    <definedName name="Imprimir2" localSheetId="9">#REF!</definedName>
    <definedName name="Imprimir2" localSheetId="10">#REF!</definedName>
    <definedName name="Imprimir2" localSheetId="11">#REF!</definedName>
    <definedName name="Imprimir2" localSheetId="12">#REF!</definedName>
    <definedName name="Imprimir2" localSheetId="13">#REF!</definedName>
    <definedName name="Imprimir2" localSheetId="14">#REF!</definedName>
    <definedName name="Imprimir2" localSheetId="25">#REF!</definedName>
    <definedName name="Imprimir2" localSheetId="23">#REF!</definedName>
    <definedName name="Imprimir2" localSheetId="3">#REF!</definedName>
    <definedName name="Imprimir2" localSheetId="18">#REF!</definedName>
    <definedName name="Imprimir2" localSheetId="0">#REF!</definedName>
    <definedName name="Imprimir2">#REF!</definedName>
    <definedName name="PartsList">'[1]Price List'!$A$2:$A$2849</definedName>
  </definedNames>
  <calcPr calcId="144525"/>
</workbook>
</file>

<file path=xl/calcChain.xml><?xml version="1.0" encoding="utf-8"?>
<calcChain xmlns="http://schemas.openxmlformats.org/spreadsheetml/2006/main">
  <c r="U56" i="15" l="1"/>
  <c r="U51" i="15"/>
  <c r="U50" i="15"/>
  <c r="K37" i="16"/>
  <c r="E292" i="29" l="1"/>
  <c r="E291" i="29"/>
  <c r="E290" i="29"/>
  <c r="E289" i="29"/>
  <c r="E288" i="29"/>
  <c r="E283" i="29"/>
  <c r="E282" i="29"/>
  <c r="D281" i="29"/>
  <c r="E281" i="29" s="1"/>
  <c r="E284" i="29" s="1"/>
  <c r="D315" i="29" s="1"/>
  <c r="E280" i="29"/>
  <c r="E270" i="29"/>
  <c r="E271" i="29" s="1"/>
  <c r="D313" i="29" s="1"/>
  <c r="E264" i="29"/>
  <c r="E263" i="29"/>
  <c r="E262" i="29"/>
  <c r="E265" i="29" s="1"/>
  <c r="D312" i="29" s="1"/>
  <c r="E256" i="29"/>
  <c r="E255" i="29"/>
  <c r="E254" i="29"/>
  <c r="E253" i="29"/>
  <c r="E252" i="29"/>
  <c r="E251" i="29"/>
  <c r="E250" i="29"/>
  <c r="E249" i="29"/>
  <c r="E248" i="29"/>
  <c r="E247" i="29"/>
  <c r="E246" i="29"/>
  <c r="E241" i="29"/>
  <c r="E242" i="29" s="1"/>
  <c r="D310" i="29" s="1"/>
  <c r="E236" i="29"/>
  <c r="E235" i="29"/>
  <c r="E234" i="29"/>
  <c r="E233" i="29"/>
  <c r="E232" i="29"/>
  <c r="E231" i="29"/>
  <c r="E230" i="29"/>
  <c r="E229" i="29"/>
  <c r="E228" i="29"/>
  <c r="D227" i="29"/>
  <c r="E227" i="29" s="1"/>
  <c r="E222" i="29"/>
  <c r="E221" i="29"/>
  <c r="E220" i="29"/>
  <c r="E219" i="29"/>
  <c r="E218" i="29"/>
  <c r="E217" i="29"/>
  <c r="E216" i="29"/>
  <c r="E215" i="29"/>
  <c r="E214" i="29"/>
  <c r="E213" i="29"/>
  <c r="E212" i="29"/>
  <c r="E211" i="29"/>
  <c r="E210" i="29"/>
  <c r="E209" i="29"/>
  <c r="E208" i="29"/>
  <c r="E207" i="29"/>
  <c r="E206" i="29"/>
  <c r="E205" i="29"/>
  <c r="E204" i="29"/>
  <c r="E203" i="29"/>
  <c r="E202" i="29"/>
  <c r="E201" i="29"/>
  <c r="E200" i="29"/>
  <c r="E199" i="29"/>
  <c r="E198" i="29"/>
  <c r="E197" i="29"/>
  <c r="E196" i="29"/>
  <c r="E190" i="29"/>
  <c r="E189" i="29"/>
  <c r="E188" i="29"/>
  <c r="E187" i="29"/>
  <c r="E186" i="29"/>
  <c r="E185" i="29"/>
  <c r="D184" i="29"/>
  <c r="E184" i="29" s="1"/>
  <c r="E183" i="29"/>
  <c r="E182" i="29"/>
  <c r="E181" i="29"/>
  <c r="E180" i="29"/>
  <c r="E179" i="29"/>
  <c r="E178" i="29"/>
  <c r="E177" i="29"/>
  <c r="E176" i="29"/>
  <c r="E175" i="29"/>
  <c r="E174" i="29"/>
  <c r="E173" i="29"/>
  <c r="E172" i="29"/>
  <c r="E171" i="29"/>
  <c r="E170" i="29"/>
  <c r="E169" i="29"/>
  <c r="E168" i="29"/>
  <c r="E167" i="29"/>
  <c r="E166" i="29"/>
  <c r="E165" i="29"/>
  <c r="E164" i="29"/>
  <c r="E163" i="29"/>
  <c r="E162" i="29"/>
  <c r="E161" i="29"/>
  <c r="E160" i="29"/>
  <c r="E159" i="29"/>
  <c r="E152" i="29"/>
  <c r="E151" i="29"/>
  <c r="E150" i="29"/>
  <c r="E149" i="29"/>
  <c r="E148" i="29"/>
  <c r="E147" i="29"/>
  <c r="E146" i="29"/>
  <c r="E145" i="29"/>
  <c r="E144" i="29"/>
  <c r="E143" i="29"/>
  <c r="E142" i="29"/>
  <c r="D141" i="29"/>
  <c r="E141" i="29" s="1"/>
  <c r="E140" i="29"/>
  <c r="E139" i="29"/>
  <c r="E138" i="29"/>
  <c r="E137" i="29"/>
  <c r="E136" i="29"/>
  <c r="E135" i="29"/>
  <c r="E134" i="29"/>
  <c r="E133" i="29"/>
  <c r="E132" i="29"/>
  <c r="E131" i="29"/>
  <c r="E130" i="29"/>
  <c r="E129" i="29"/>
  <c r="E126" i="29"/>
  <c r="E125" i="29"/>
  <c r="E124" i="29"/>
  <c r="E123" i="29"/>
  <c r="E122" i="29"/>
  <c r="E121" i="29"/>
  <c r="E120" i="29"/>
  <c r="E119" i="29"/>
  <c r="E118" i="29"/>
  <c r="E117" i="29"/>
  <c r="E116" i="29"/>
  <c r="E115" i="29"/>
  <c r="E114" i="29"/>
  <c r="E113" i="29"/>
  <c r="E112" i="29"/>
  <c r="E111" i="29"/>
  <c r="E108" i="29"/>
  <c r="E107" i="29"/>
  <c r="E106" i="29"/>
  <c r="E105" i="29"/>
  <c r="E104" i="29"/>
  <c r="E103" i="29"/>
  <c r="E102" i="29"/>
  <c r="E101" i="29"/>
  <c r="E100" i="29"/>
  <c r="E99" i="29"/>
  <c r="E98" i="29"/>
  <c r="E97" i="29"/>
  <c r="E96" i="29"/>
  <c r="E95" i="29"/>
  <c r="E94" i="29"/>
  <c r="E93" i="29"/>
  <c r="E92" i="29"/>
  <c r="E91" i="29"/>
  <c r="E90" i="29"/>
  <c r="E89" i="29"/>
  <c r="E88" i="29"/>
  <c r="E87" i="29"/>
  <c r="E86" i="29"/>
  <c r="D85" i="29"/>
  <c r="E85" i="29" s="1"/>
  <c r="E84" i="29"/>
  <c r="E83" i="29"/>
  <c r="E82" i="29"/>
  <c r="E81" i="29"/>
  <c r="E80" i="29"/>
  <c r="D80" i="29"/>
  <c r="D79" i="29"/>
  <c r="E79" i="29" s="1"/>
  <c r="E78" i="29"/>
  <c r="E77" i="29"/>
  <c r="E76" i="29"/>
  <c r="E75" i="29"/>
  <c r="E74" i="29"/>
  <c r="E73" i="29"/>
  <c r="E72" i="29"/>
  <c r="E71" i="29"/>
  <c r="E70" i="29"/>
  <c r="E69" i="29"/>
  <c r="E68" i="29"/>
  <c r="E67" i="29"/>
  <c r="E66" i="29"/>
  <c r="E65" i="29"/>
  <c r="E64" i="29"/>
  <c r="E63" i="29"/>
  <c r="E62" i="29"/>
  <c r="E61" i="29"/>
  <c r="E60" i="29"/>
  <c r="E59" i="29"/>
  <c r="E58" i="29"/>
  <c r="E57" i="29"/>
  <c r="E56" i="29"/>
  <c r="E55" i="29"/>
  <c r="E54" i="29"/>
  <c r="E48" i="29"/>
  <c r="E47" i="29"/>
  <c r="E46" i="29"/>
  <c r="E45" i="29"/>
  <c r="E44" i="29"/>
  <c r="E43" i="29"/>
  <c r="E42" i="29"/>
  <c r="E41" i="29"/>
  <c r="E40" i="29"/>
  <c r="E39" i="29"/>
  <c r="E38" i="29"/>
  <c r="E37" i="29"/>
  <c r="E36" i="29"/>
  <c r="E35" i="29"/>
  <c r="E34" i="29"/>
  <c r="E33" i="29"/>
  <c r="E32" i="29"/>
  <c r="E31" i="29"/>
  <c r="E30" i="29"/>
  <c r="E29" i="29"/>
  <c r="E28" i="29"/>
  <c r="E27" i="29"/>
  <c r="E26" i="29"/>
  <c r="E25" i="29"/>
  <c r="E24" i="29"/>
  <c r="E23" i="29"/>
  <c r="E22" i="29"/>
  <c r="E21" i="29"/>
  <c r="E20" i="29"/>
  <c r="E19" i="29"/>
  <c r="E18" i="29"/>
  <c r="E17" i="29"/>
  <c r="E16" i="29"/>
  <c r="E15" i="29"/>
  <c r="E14" i="29"/>
  <c r="E13" i="29"/>
  <c r="E12" i="29"/>
  <c r="E11" i="29"/>
  <c r="E10" i="29"/>
  <c r="E9" i="29"/>
  <c r="E8" i="29"/>
  <c r="E7" i="29"/>
  <c r="E6" i="29"/>
  <c r="E5" i="29"/>
  <c r="E4" i="29"/>
  <c r="E3" i="29"/>
  <c r="U43" i="24"/>
  <c r="V43" i="24" s="1"/>
  <c r="H14" i="23"/>
  <c r="E223" i="29" l="1"/>
  <c r="D308" i="29" s="1"/>
  <c r="E109" i="29"/>
  <c r="E153" i="29"/>
  <c r="E154" i="29" s="1"/>
  <c r="D306" i="29" s="1"/>
  <c r="E191" i="29"/>
  <c r="D307" i="29" s="1"/>
  <c r="E237" i="29"/>
  <c r="D309" i="29" s="1"/>
  <c r="E257" i="29"/>
  <c r="D311" i="29" s="1"/>
  <c r="E49" i="29"/>
  <c r="D305" i="29" s="1"/>
  <c r="E293" i="29"/>
  <c r="D316" i="29" s="1"/>
  <c r="D275" i="29"/>
  <c r="E275" i="29" s="1"/>
  <c r="E276" i="29" s="1"/>
  <c r="D314" i="29" s="1"/>
  <c r="S61" i="24"/>
  <c r="Q56" i="24"/>
  <c r="D317" i="29" l="1"/>
  <c r="E296" i="29"/>
  <c r="P75" i="24"/>
  <c r="P74" i="24"/>
  <c r="K327" i="28" l="1"/>
  <c r="J322" i="28"/>
  <c r="J330" i="28" s="1"/>
  <c r="E292" i="28"/>
  <c r="E291" i="28"/>
  <c r="E290" i="28"/>
  <c r="E289" i="28"/>
  <c r="E288" i="28"/>
  <c r="E283" i="28"/>
  <c r="E282" i="28"/>
  <c r="D281" i="28"/>
  <c r="E281" i="28" s="1"/>
  <c r="E280" i="28"/>
  <c r="E270" i="28"/>
  <c r="E271" i="28" s="1"/>
  <c r="D313" i="28" s="1"/>
  <c r="E264" i="28"/>
  <c r="E263" i="28"/>
  <c r="E262" i="28"/>
  <c r="E256" i="28"/>
  <c r="E255" i="28"/>
  <c r="E254" i="28"/>
  <c r="E253" i="28"/>
  <c r="E252" i="28"/>
  <c r="E251" i="28"/>
  <c r="E250" i="28"/>
  <c r="E249" i="28"/>
  <c r="E248" i="28"/>
  <c r="E247" i="28"/>
  <c r="E246" i="28"/>
  <c r="E241" i="28"/>
  <c r="E242" i="28" s="1"/>
  <c r="D310" i="28" s="1"/>
  <c r="E236" i="28"/>
  <c r="E235" i="28"/>
  <c r="E234" i="28"/>
  <c r="E233" i="28"/>
  <c r="E232" i="28"/>
  <c r="E231" i="28"/>
  <c r="E230" i="28"/>
  <c r="E229" i="28"/>
  <c r="E228" i="28"/>
  <c r="D227" i="28"/>
  <c r="D275" i="28" s="1"/>
  <c r="E275" i="28" s="1"/>
  <c r="E276" i="28" s="1"/>
  <c r="D314" i="28" s="1"/>
  <c r="E222" i="28"/>
  <c r="E221" i="28"/>
  <c r="E220" i="28"/>
  <c r="E219" i="28"/>
  <c r="E218" i="28"/>
  <c r="E217" i="28"/>
  <c r="E216" i="28"/>
  <c r="E215" i="28"/>
  <c r="E214" i="28"/>
  <c r="E213" i="28"/>
  <c r="E212" i="28"/>
  <c r="E211" i="28"/>
  <c r="E210" i="28"/>
  <c r="E209" i="28"/>
  <c r="E208" i="28"/>
  <c r="E207" i="28"/>
  <c r="E206" i="28"/>
  <c r="E205" i="28"/>
  <c r="E204" i="28"/>
  <c r="E203" i="28"/>
  <c r="E202" i="28"/>
  <c r="E201" i="28"/>
  <c r="E200" i="28"/>
  <c r="E199" i="28"/>
  <c r="E198" i="28"/>
  <c r="E197" i="28"/>
  <c r="E196" i="28"/>
  <c r="E190" i="28"/>
  <c r="E189" i="28"/>
  <c r="E188" i="28"/>
  <c r="E187" i="28"/>
  <c r="E186" i="28"/>
  <c r="E185" i="28"/>
  <c r="D184" i="28"/>
  <c r="E184" i="28" s="1"/>
  <c r="E183" i="28"/>
  <c r="E182" i="28"/>
  <c r="E181" i="28"/>
  <c r="E180" i="28"/>
  <c r="E179" i="28"/>
  <c r="E178" i="28"/>
  <c r="E177" i="28"/>
  <c r="E176" i="28"/>
  <c r="E175" i="28"/>
  <c r="E174" i="28"/>
  <c r="E173" i="28"/>
  <c r="E172" i="28"/>
  <c r="E171" i="28"/>
  <c r="E170" i="28"/>
  <c r="E169" i="28"/>
  <c r="E168" i="28"/>
  <c r="E167" i="28"/>
  <c r="E166" i="28"/>
  <c r="E165" i="28"/>
  <c r="E164" i="28"/>
  <c r="E163" i="28"/>
  <c r="E162" i="28"/>
  <c r="E161" i="28"/>
  <c r="E160" i="28"/>
  <c r="E159" i="28"/>
  <c r="E152" i="28"/>
  <c r="E151" i="28"/>
  <c r="E150" i="28"/>
  <c r="E149" i="28"/>
  <c r="E148" i="28"/>
  <c r="E147" i="28"/>
  <c r="E146" i="28"/>
  <c r="E145" i="28"/>
  <c r="E144" i="28"/>
  <c r="E143" i="28"/>
  <c r="E142" i="28"/>
  <c r="D141" i="28"/>
  <c r="E141" i="28" s="1"/>
  <c r="E140" i="28"/>
  <c r="E139" i="28"/>
  <c r="E138" i="28"/>
  <c r="E137" i="28"/>
  <c r="E136" i="28"/>
  <c r="E135" i="28"/>
  <c r="E134" i="28"/>
  <c r="E133" i="28"/>
  <c r="E132" i="28"/>
  <c r="E131" i="28"/>
  <c r="E130" i="28"/>
  <c r="E129" i="28"/>
  <c r="E126" i="28"/>
  <c r="E125" i="28"/>
  <c r="E124" i="28"/>
  <c r="E123" i="28"/>
  <c r="E122" i="28"/>
  <c r="E121" i="28"/>
  <c r="E120" i="28"/>
  <c r="E119" i="28"/>
  <c r="E118" i="28"/>
  <c r="E117" i="28"/>
  <c r="E116" i="28"/>
  <c r="E115" i="28"/>
  <c r="E114" i="28"/>
  <c r="E113" i="28"/>
  <c r="E112" i="28"/>
  <c r="E111" i="28"/>
  <c r="E108" i="28"/>
  <c r="E107" i="28"/>
  <c r="E106" i="28"/>
  <c r="E105" i="28"/>
  <c r="E104" i="28"/>
  <c r="E103" i="28"/>
  <c r="E102" i="28"/>
  <c r="E101" i="28"/>
  <c r="E100" i="28"/>
  <c r="E99" i="28"/>
  <c r="E98" i="28"/>
  <c r="E97" i="28"/>
  <c r="E96" i="28"/>
  <c r="E95" i="28"/>
  <c r="E94" i="28"/>
  <c r="E93" i="28"/>
  <c r="E92" i="28"/>
  <c r="E91" i="28"/>
  <c r="E90" i="28"/>
  <c r="E89" i="28"/>
  <c r="E88" i="28"/>
  <c r="E87" i="28"/>
  <c r="E86" i="28"/>
  <c r="D85" i="28"/>
  <c r="E85" i="28" s="1"/>
  <c r="E84" i="28"/>
  <c r="E83" i="28"/>
  <c r="E82" i="28"/>
  <c r="E81" i="28"/>
  <c r="D80" i="28"/>
  <c r="E80" i="28" s="1"/>
  <c r="D79" i="28"/>
  <c r="E79" i="28" s="1"/>
  <c r="E78" i="28"/>
  <c r="E77" i="28"/>
  <c r="E76" i="28"/>
  <c r="E75" i="28"/>
  <c r="E74" i="28"/>
  <c r="E73" i="28"/>
  <c r="E72" i="28"/>
  <c r="E71" i="28"/>
  <c r="E70" i="28"/>
  <c r="E69" i="28"/>
  <c r="E68" i="28"/>
  <c r="E67" i="28"/>
  <c r="E66" i="28"/>
  <c r="E65" i="28"/>
  <c r="E64" i="28"/>
  <c r="E63" i="28"/>
  <c r="E62" i="28"/>
  <c r="E61" i="28"/>
  <c r="E60" i="28"/>
  <c r="E59" i="28"/>
  <c r="E58" i="28"/>
  <c r="E57" i="28"/>
  <c r="E56" i="28"/>
  <c r="E55" i="28"/>
  <c r="E54" i="28"/>
  <c r="E48" i="28"/>
  <c r="E47" i="28"/>
  <c r="E46" i="28"/>
  <c r="E45" i="28"/>
  <c r="E44" i="28"/>
  <c r="E43" i="28"/>
  <c r="E42" i="28"/>
  <c r="E41" i="28"/>
  <c r="E40" i="28"/>
  <c r="E39" i="28"/>
  <c r="E38" i="28"/>
  <c r="E37" i="28"/>
  <c r="E36" i="28"/>
  <c r="E35" i="28"/>
  <c r="E34" i="28"/>
  <c r="E33" i="28"/>
  <c r="E32" i="28"/>
  <c r="E31" i="28"/>
  <c r="E30" i="28"/>
  <c r="E29" i="28"/>
  <c r="E28" i="28"/>
  <c r="E27" i="28"/>
  <c r="E26" i="28"/>
  <c r="E25" i="28"/>
  <c r="E24" i="28"/>
  <c r="E23" i="28"/>
  <c r="E22" i="28"/>
  <c r="E21" i="28"/>
  <c r="E20" i="28"/>
  <c r="E19" i="28"/>
  <c r="E18" i="28"/>
  <c r="E17" i="28"/>
  <c r="E16" i="28"/>
  <c r="E15" i="28"/>
  <c r="E14" i="28"/>
  <c r="E13" i="28"/>
  <c r="E12" i="28"/>
  <c r="E11" i="28"/>
  <c r="E10" i="28"/>
  <c r="E9" i="28"/>
  <c r="E8" i="28"/>
  <c r="E7" i="28"/>
  <c r="E6" i="28"/>
  <c r="E5" i="28"/>
  <c r="E4" i="28"/>
  <c r="E3" i="28"/>
  <c r="E49" i="28" l="1"/>
  <c r="D305" i="28" s="1"/>
  <c r="E257" i="28"/>
  <c r="D311" i="28" s="1"/>
  <c r="E265" i="28"/>
  <c r="D312" i="28" s="1"/>
  <c r="E284" i="28"/>
  <c r="D315" i="28" s="1"/>
  <c r="E109" i="28"/>
  <c r="E191" i="28"/>
  <c r="D307" i="28" s="1"/>
  <c r="E223" i="28"/>
  <c r="D308" i="28" s="1"/>
  <c r="E227" i="28"/>
  <c r="E237" i="28" s="1"/>
  <c r="D309" i="28" s="1"/>
  <c r="E293" i="28"/>
  <c r="E153" i="28"/>
  <c r="E154" i="28" s="1"/>
  <c r="D306" i="28" s="1"/>
  <c r="D316" i="28"/>
  <c r="D317" i="28" l="1"/>
  <c r="J320" i="28" s="1"/>
  <c r="E296" i="28"/>
  <c r="P70" i="24"/>
  <c r="Q43" i="24"/>
  <c r="N115" i="24"/>
  <c r="P99" i="24"/>
  <c r="R56" i="24"/>
  <c r="R59" i="24"/>
  <c r="H3" i="24"/>
  <c r="H4" i="24"/>
  <c r="H5" i="24"/>
  <c r="H6" i="24"/>
  <c r="H7" i="24"/>
  <c r="H8" i="24"/>
  <c r="H9" i="24"/>
  <c r="H10" i="24"/>
  <c r="H11" i="24"/>
  <c r="H12" i="24"/>
  <c r="H13" i="24"/>
  <c r="H14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8" i="24"/>
  <c r="H29" i="24"/>
  <c r="H30" i="24"/>
  <c r="H31" i="24"/>
  <c r="H32" i="24"/>
  <c r="H33" i="24"/>
  <c r="H34" i="24"/>
  <c r="H35" i="24"/>
  <c r="H36" i="24"/>
  <c r="P84" i="24" l="1"/>
  <c r="P115" i="24" s="1"/>
  <c r="H193" i="27" l="1"/>
  <c r="H192" i="27"/>
  <c r="H187" i="27"/>
  <c r="I187" i="27" s="1"/>
  <c r="H186" i="27"/>
  <c r="I186" i="27" s="1"/>
  <c r="H184" i="27"/>
  <c r="K184" i="27" s="1"/>
  <c r="H174" i="27"/>
  <c r="H169" i="27"/>
  <c r="H168" i="27"/>
  <c r="K168" i="27" s="1"/>
  <c r="H163" i="27"/>
  <c r="H158" i="27"/>
  <c r="K158" i="27" s="1"/>
  <c r="H157" i="27"/>
  <c r="I157" i="27" s="1"/>
  <c r="H156" i="27"/>
  <c r="K155" i="27"/>
  <c r="I155" i="27"/>
  <c r="H154" i="27"/>
  <c r="H153" i="27"/>
  <c r="H152" i="27"/>
  <c r="H151" i="27"/>
  <c r="H150" i="27"/>
  <c r="H149" i="27"/>
  <c r="K149" i="27" s="1"/>
  <c r="H148" i="27"/>
  <c r="K148" i="27" s="1"/>
  <c r="H147" i="27"/>
  <c r="H146" i="27"/>
  <c r="K146" i="27" s="1"/>
  <c r="H145" i="27"/>
  <c r="K145" i="27" s="1"/>
  <c r="H144" i="27"/>
  <c r="H143" i="27"/>
  <c r="H142" i="27"/>
  <c r="H141" i="27"/>
  <c r="K141" i="27" s="1"/>
  <c r="H140" i="27"/>
  <c r="H139" i="27"/>
  <c r="H138" i="27"/>
  <c r="K138" i="27" s="1"/>
  <c r="H132" i="27"/>
  <c r="K132" i="27" s="1"/>
  <c r="H131" i="27"/>
  <c r="K131" i="27" s="1"/>
  <c r="H130" i="27"/>
  <c r="I130" i="27" s="1"/>
  <c r="H129" i="27"/>
  <c r="H128" i="27"/>
  <c r="H127" i="27"/>
  <c r="H126" i="27"/>
  <c r="H124" i="27"/>
  <c r="I124" i="27" s="1"/>
  <c r="K123" i="27"/>
  <c r="I123" i="27"/>
  <c r="H122" i="27"/>
  <c r="H121" i="27"/>
  <c r="H120" i="27"/>
  <c r="H119" i="27"/>
  <c r="I119" i="27" s="1"/>
  <c r="H118" i="27"/>
  <c r="H117" i="27"/>
  <c r="K117" i="27" s="1"/>
  <c r="H116" i="27"/>
  <c r="K116" i="27" s="1"/>
  <c r="H115" i="27"/>
  <c r="H114" i="27"/>
  <c r="K114" i="27" s="1"/>
  <c r="H113" i="27"/>
  <c r="H112" i="27"/>
  <c r="H111" i="27"/>
  <c r="H110" i="27"/>
  <c r="H109" i="27"/>
  <c r="H108" i="27"/>
  <c r="H107" i="27"/>
  <c r="I107" i="27" s="1"/>
  <c r="H106" i="27"/>
  <c r="K106" i="27" s="1"/>
  <c r="H105" i="27"/>
  <c r="H104" i="27"/>
  <c r="H103" i="27"/>
  <c r="K103" i="27" s="1"/>
  <c r="H97" i="27"/>
  <c r="K97" i="27" s="1"/>
  <c r="H96" i="27"/>
  <c r="I96" i="27" s="1"/>
  <c r="H95" i="27"/>
  <c r="H94" i="27"/>
  <c r="K94" i="27" s="1"/>
  <c r="H93" i="27"/>
  <c r="H92" i="27"/>
  <c r="K92" i="27" s="1"/>
  <c r="H91" i="27"/>
  <c r="K91" i="27" s="1"/>
  <c r="H90" i="27"/>
  <c r="H88" i="27"/>
  <c r="I88" i="27" s="1"/>
  <c r="H87" i="27"/>
  <c r="K87" i="27" s="1"/>
  <c r="H86" i="27"/>
  <c r="H85" i="27"/>
  <c r="H84" i="27"/>
  <c r="H83" i="27"/>
  <c r="H82" i="27"/>
  <c r="H81" i="27"/>
  <c r="K81" i="27" s="1"/>
  <c r="H80" i="27"/>
  <c r="H79" i="27"/>
  <c r="H78" i="27"/>
  <c r="K78" i="27" s="1"/>
  <c r="H77" i="27"/>
  <c r="H76" i="27"/>
  <c r="K76" i="27" s="1"/>
  <c r="H75" i="27"/>
  <c r="H74" i="27"/>
  <c r="K74" i="27" s="1"/>
  <c r="H73" i="27"/>
  <c r="K73" i="27" s="1"/>
  <c r="H72" i="27"/>
  <c r="K72" i="27" s="1"/>
  <c r="H71" i="27"/>
  <c r="H70" i="27"/>
  <c r="I70" i="27" s="1"/>
  <c r="H68" i="27"/>
  <c r="K68" i="27" s="1"/>
  <c r="H67" i="27"/>
  <c r="H66" i="27"/>
  <c r="H65" i="27"/>
  <c r="I65" i="27" s="1"/>
  <c r="H64" i="27"/>
  <c r="I64" i="27" s="1"/>
  <c r="H63" i="27"/>
  <c r="H62" i="27"/>
  <c r="K62" i="27" s="1"/>
  <c r="H61" i="27"/>
  <c r="H60" i="27"/>
  <c r="K60" i="27" s="1"/>
  <c r="H59" i="27"/>
  <c r="H58" i="27"/>
  <c r="H57" i="27"/>
  <c r="K57" i="27" s="1"/>
  <c r="H56" i="27"/>
  <c r="K56" i="27" s="1"/>
  <c r="H55" i="27"/>
  <c r="H54" i="27"/>
  <c r="H53" i="27"/>
  <c r="K53" i="27" s="1"/>
  <c r="H52" i="27"/>
  <c r="H51" i="27"/>
  <c r="H50" i="27"/>
  <c r="H49" i="27"/>
  <c r="K49" i="27" s="1"/>
  <c r="H48" i="27"/>
  <c r="I48" i="27" s="1"/>
  <c r="H47" i="27"/>
  <c r="H46" i="27"/>
  <c r="I46" i="27" s="1"/>
  <c r="H45" i="27"/>
  <c r="K45" i="27" s="1"/>
  <c r="H44" i="27"/>
  <c r="K44" i="27" s="1"/>
  <c r="H43" i="27"/>
  <c r="I43" i="27" s="1"/>
  <c r="H42" i="27"/>
  <c r="H41" i="27"/>
  <c r="K41" i="27" s="1"/>
  <c r="H40" i="27"/>
  <c r="H39" i="27"/>
  <c r="H38" i="27"/>
  <c r="K38" i="27" s="1"/>
  <c r="H37" i="27"/>
  <c r="H36" i="27"/>
  <c r="H34" i="27"/>
  <c r="H33" i="27"/>
  <c r="H30" i="27"/>
  <c r="K30" i="27" s="1"/>
  <c r="H29" i="27"/>
  <c r="H28" i="27"/>
  <c r="H27" i="27"/>
  <c r="I27" i="27" s="1"/>
  <c r="H26" i="27"/>
  <c r="I26" i="27" s="1"/>
  <c r="H25" i="27"/>
  <c r="H24" i="27"/>
  <c r="K24" i="27" s="1"/>
  <c r="H23" i="27"/>
  <c r="H22" i="27"/>
  <c r="K22" i="27" s="1"/>
  <c r="H21" i="27"/>
  <c r="H20" i="27"/>
  <c r="I20" i="27" s="1"/>
  <c r="H19" i="27"/>
  <c r="I19" i="27" s="1"/>
  <c r="H18" i="27"/>
  <c r="H17" i="27"/>
  <c r="H16" i="27"/>
  <c r="K16" i="27" s="1"/>
  <c r="H15" i="27"/>
  <c r="K15" i="27" s="1"/>
  <c r="H14" i="27"/>
  <c r="H13" i="27"/>
  <c r="H12" i="27"/>
  <c r="H11" i="27"/>
  <c r="I11" i="27" s="1"/>
  <c r="I6" i="27"/>
  <c r="H5" i="27"/>
  <c r="K5" i="27" s="1"/>
  <c r="B45" i="25"/>
  <c r="B39" i="25"/>
  <c r="E19" i="25"/>
  <c r="E20" i="25"/>
  <c r="E21" i="25"/>
  <c r="E22" i="25"/>
  <c r="E23" i="25"/>
  <c r="E24" i="25"/>
  <c r="E18" i="25"/>
  <c r="E13" i="25"/>
  <c r="E14" i="25"/>
  <c r="E15" i="25"/>
  <c r="E16" i="25"/>
  <c r="E17" i="25"/>
  <c r="E12" i="25"/>
  <c r="E6" i="25"/>
  <c r="E7" i="25"/>
  <c r="E8" i="25"/>
  <c r="E9" i="25"/>
  <c r="E10" i="25"/>
  <c r="E11" i="25"/>
  <c r="E5" i="25"/>
  <c r="D25" i="25"/>
  <c r="I116" i="27" l="1"/>
  <c r="K48" i="27"/>
  <c r="I56" i="27"/>
  <c r="K130" i="27"/>
  <c r="K65" i="27"/>
  <c r="I72" i="27"/>
  <c r="K26" i="27"/>
  <c r="I97" i="27"/>
  <c r="K119" i="27"/>
  <c r="I57" i="27"/>
  <c r="K157" i="27"/>
  <c r="K43" i="27"/>
  <c r="K109" i="27"/>
  <c r="K151" i="27"/>
  <c r="K52" i="27"/>
  <c r="I79" i="27"/>
  <c r="K79" i="27"/>
  <c r="I105" i="27"/>
  <c r="K140" i="27"/>
  <c r="I151" i="27"/>
  <c r="I156" i="27"/>
  <c r="I140" i="27"/>
  <c r="K193" i="27"/>
  <c r="K17" i="27"/>
  <c r="I193" i="27"/>
  <c r="K12" i="27"/>
  <c r="I115" i="27"/>
  <c r="K153" i="27"/>
  <c r="K23" i="27"/>
  <c r="K54" i="27"/>
  <c r="I153" i="27"/>
  <c r="K174" i="27"/>
  <c r="K175" i="27" s="1"/>
  <c r="I16" i="27"/>
  <c r="I109" i="27"/>
  <c r="K40" i="27"/>
  <c r="K70" i="27"/>
  <c r="I40" i="27"/>
  <c r="K21" i="27"/>
  <c r="K33" i="27"/>
  <c r="I33" i="27"/>
  <c r="I38" i="27"/>
  <c r="K50" i="27"/>
  <c r="I54" i="27"/>
  <c r="I174" i="27"/>
  <c r="I175" i="27" s="1"/>
  <c r="K105" i="27"/>
  <c r="K29" i="27"/>
  <c r="K46" i="27"/>
  <c r="I17" i="27"/>
  <c r="K77" i="27"/>
  <c r="I90" i="27"/>
  <c r="K90" i="27"/>
  <c r="I111" i="27"/>
  <c r="K111" i="27"/>
  <c r="I21" i="27"/>
  <c r="I50" i="27"/>
  <c r="K64" i="27"/>
  <c r="K108" i="27"/>
  <c r="I108" i="27"/>
  <c r="I39" i="27"/>
  <c r="I49" i="27"/>
  <c r="I53" i="27"/>
  <c r="I76" i="27"/>
  <c r="I78" i="27"/>
  <c r="I83" i="27"/>
  <c r="I86" i="27"/>
  <c r="I117" i="27"/>
  <c r="I131" i="27"/>
  <c r="I143" i="27"/>
  <c r="I147" i="27"/>
  <c r="I121" i="27"/>
  <c r="I145" i="27"/>
  <c r="I24" i="27"/>
  <c r="I30" i="27"/>
  <c r="I94" i="27"/>
  <c r="I110" i="27"/>
  <c r="I152" i="27"/>
  <c r="I184" i="27"/>
  <c r="I138" i="27"/>
  <c r="K27" i="27"/>
  <c r="I41" i="27"/>
  <c r="K83" i="27"/>
  <c r="K86" i="27"/>
  <c r="I114" i="27"/>
  <c r="K121" i="27"/>
  <c r="K143" i="27"/>
  <c r="K147" i="27"/>
  <c r="K34" i="27"/>
  <c r="K58" i="27"/>
  <c r="I58" i="27"/>
  <c r="I93" i="27"/>
  <c r="K93" i="27"/>
  <c r="I142" i="27"/>
  <c r="K142" i="27"/>
  <c r="K95" i="27"/>
  <c r="I104" i="27"/>
  <c r="K104" i="27"/>
  <c r="I45" i="27"/>
  <c r="I67" i="27"/>
  <c r="K71" i="27"/>
  <c r="I71" i="27"/>
  <c r="I95" i="27"/>
  <c r="I112" i="27"/>
  <c r="K112" i="27"/>
  <c r="I13" i="27"/>
  <c r="I34" i="27"/>
  <c r="K13" i="27"/>
  <c r="I36" i="27"/>
  <c r="K36" i="27"/>
  <c r="I62" i="27"/>
  <c r="K67" i="27"/>
  <c r="I14" i="27"/>
  <c r="K14" i="27"/>
  <c r="K61" i="27"/>
  <c r="I66" i="27"/>
  <c r="K66" i="27"/>
  <c r="I80" i="27"/>
  <c r="K28" i="27"/>
  <c r="I61" i="27"/>
  <c r="K80" i="27"/>
  <c r="I127" i="27"/>
  <c r="K127" i="27"/>
  <c r="K154" i="27"/>
  <c r="I154" i="27"/>
  <c r="K169" i="27"/>
  <c r="I169" i="27"/>
  <c r="K18" i="27"/>
  <c r="I18" i="27"/>
  <c r="I28" i="27"/>
  <c r="I75" i="27"/>
  <c r="K75" i="27"/>
  <c r="I82" i="27"/>
  <c r="K82" i="27"/>
  <c r="I85" i="27"/>
  <c r="I87" i="27"/>
  <c r="K11" i="27"/>
  <c r="I15" i="27"/>
  <c r="K19" i="27"/>
  <c r="I22" i="27"/>
  <c r="I23" i="27"/>
  <c r="I37" i="27"/>
  <c r="I44" i="27"/>
  <c r="I59" i="27"/>
  <c r="K59" i="27"/>
  <c r="K85" i="27"/>
  <c r="I91" i="27"/>
  <c r="K128" i="27"/>
  <c r="K139" i="27"/>
  <c r="I139" i="27"/>
  <c r="K156" i="27"/>
  <c r="K47" i="27"/>
  <c r="I47" i="27"/>
  <c r="I84" i="27"/>
  <c r="K84" i="27"/>
  <c r="I113" i="27"/>
  <c r="K124" i="27"/>
  <c r="I12" i="27"/>
  <c r="I25" i="27"/>
  <c r="I29" i="27"/>
  <c r="I42" i="27"/>
  <c r="K63" i="27"/>
  <c r="I63" i="27"/>
  <c r="K88" i="27"/>
  <c r="I92" i="27"/>
  <c r="I106" i="27"/>
  <c r="K110" i="27"/>
  <c r="K113" i="27"/>
  <c r="I128" i="27"/>
  <c r="K186" i="27"/>
  <c r="K192" i="27"/>
  <c r="K37" i="27"/>
  <c r="I51" i="27"/>
  <c r="K51" i="27"/>
  <c r="K122" i="27"/>
  <c r="I132" i="27"/>
  <c r="I192" i="27"/>
  <c r="K20" i="27"/>
  <c r="K25" i="27"/>
  <c r="K39" i="27"/>
  <c r="K42" i="27"/>
  <c r="K55" i="27"/>
  <c r="I55" i="27"/>
  <c r="I68" i="27"/>
  <c r="I73" i="27"/>
  <c r="I74" i="27"/>
  <c r="I81" i="27"/>
  <c r="I103" i="27"/>
  <c r="I122" i="27"/>
  <c r="I149" i="27"/>
  <c r="I120" i="27"/>
  <c r="K120" i="27"/>
  <c r="K129" i="27"/>
  <c r="I129" i="27"/>
  <c r="I141" i="27"/>
  <c r="K144" i="27"/>
  <c r="I158" i="27"/>
  <c r="I52" i="27"/>
  <c r="I60" i="27"/>
  <c r="I77" i="27"/>
  <c r="K96" i="27"/>
  <c r="K107" i="27"/>
  <c r="I118" i="27"/>
  <c r="K126" i="27"/>
  <c r="I126" i="27"/>
  <c r="I144" i="27"/>
  <c r="I146" i="27"/>
  <c r="I150" i="27"/>
  <c r="I163" i="27"/>
  <c r="I164" i="27" s="1"/>
  <c r="K163" i="27"/>
  <c r="I168" i="27"/>
  <c r="K115" i="27"/>
  <c r="K118" i="27"/>
  <c r="I148" i="27"/>
  <c r="K150" i="27"/>
  <c r="K187" i="27"/>
  <c r="K152" i="27"/>
  <c r="I170" i="27" l="1"/>
  <c r="I194" i="27"/>
  <c r="K164" i="27"/>
  <c r="K159" i="27"/>
  <c r="K194" i="27"/>
  <c r="K170" i="27"/>
  <c r="I159" i="27"/>
  <c r="K6" i="27"/>
  <c r="G199" i="27" l="1"/>
  <c r="X272" i="20" l="1"/>
  <c r="W272" i="20"/>
  <c r="V272" i="20"/>
  <c r="U272" i="20"/>
  <c r="U266" i="20"/>
  <c r="V266" i="20"/>
  <c r="W266" i="20"/>
  <c r="X266" i="20"/>
  <c r="U263" i="20"/>
  <c r="V263" i="20"/>
  <c r="W263" i="20"/>
  <c r="X263" i="20"/>
  <c r="U264" i="20"/>
  <c r="V264" i="20"/>
  <c r="W264" i="20"/>
  <c r="X264" i="20"/>
  <c r="U265" i="20"/>
  <c r="V265" i="20"/>
  <c r="W265" i="20"/>
  <c r="X265" i="20"/>
  <c r="X262" i="20"/>
  <c r="W262" i="20"/>
  <c r="V262" i="20"/>
  <c r="V267" i="20" s="1"/>
  <c r="H22" i="25" s="1"/>
  <c r="I22" i="25" s="1"/>
  <c r="U262" i="20"/>
  <c r="U267" i="20" s="1"/>
  <c r="U255" i="20"/>
  <c r="V255" i="20"/>
  <c r="W255" i="20"/>
  <c r="X255" i="20"/>
  <c r="U256" i="20"/>
  <c r="V256" i="20"/>
  <c r="W256" i="20"/>
  <c r="X256" i="20"/>
  <c r="U257" i="20"/>
  <c r="V257" i="20"/>
  <c r="W257" i="20"/>
  <c r="X257" i="20"/>
  <c r="X254" i="20"/>
  <c r="W254" i="20"/>
  <c r="V254" i="20"/>
  <c r="U254" i="20"/>
  <c r="X249" i="20"/>
  <c r="X250" i="20" s="1"/>
  <c r="L10" i="25" s="1"/>
  <c r="M10" i="25" s="1"/>
  <c r="W249" i="20"/>
  <c r="W250" i="20" s="1"/>
  <c r="J10" i="25" s="1"/>
  <c r="K10" i="25" s="1"/>
  <c r="V249" i="20"/>
  <c r="V250" i="20" s="1"/>
  <c r="H10" i="25" s="1"/>
  <c r="I10" i="25" s="1"/>
  <c r="U249" i="20"/>
  <c r="U250" i="20" s="1"/>
  <c r="F10" i="25" s="1"/>
  <c r="G10" i="25" s="1"/>
  <c r="X244" i="20"/>
  <c r="W244" i="20"/>
  <c r="V244" i="20"/>
  <c r="U244" i="20"/>
  <c r="U238" i="20"/>
  <c r="V238" i="20"/>
  <c r="W238" i="20"/>
  <c r="X238" i="20"/>
  <c r="U239" i="20"/>
  <c r="V239" i="20"/>
  <c r="W239" i="20"/>
  <c r="X239" i="20"/>
  <c r="X237" i="20"/>
  <c r="W237" i="20"/>
  <c r="V237" i="20"/>
  <c r="V240" i="20" s="1"/>
  <c r="H24" i="25" s="1"/>
  <c r="I24" i="25" s="1"/>
  <c r="U237" i="20"/>
  <c r="U231" i="20"/>
  <c r="V231" i="20"/>
  <c r="W231" i="20"/>
  <c r="X231" i="20"/>
  <c r="U222" i="20"/>
  <c r="V222" i="20"/>
  <c r="W222" i="20"/>
  <c r="X222" i="20"/>
  <c r="U223" i="20"/>
  <c r="V223" i="20"/>
  <c r="W223" i="20"/>
  <c r="X223" i="20"/>
  <c r="U224" i="20"/>
  <c r="V224" i="20"/>
  <c r="W224" i="20"/>
  <c r="X224" i="20"/>
  <c r="U225" i="20"/>
  <c r="V225" i="20"/>
  <c r="W225" i="20"/>
  <c r="X225" i="20"/>
  <c r="U226" i="20"/>
  <c r="V226" i="20"/>
  <c r="W226" i="20"/>
  <c r="X226" i="20"/>
  <c r="U227" i="20"/>
  <c r="V227" i="20"/>
  <c r="W227" i="20"/>
  <c r="X227" i="20"/>
  <c r="U228" i="20"/>
  <c r="V228" i="20"/>
  <c r="W228" i="20"/>
  <c r="X228" i="20"/>
  <c r="U229" i="20"/>
  <c r="V229" i="20"/>
  <c r="W229" i="20"/>
  <c r="X229" i="20"/>
  <c r="U230" i="20"/>
  <c r="V230" i="20"/>
  <c r="W230" i="20"/>
  <c r="X230" i="20"/>
  <c r="X221" i="20"/>
  <c r="W221" i="20"/>
  <c r="V221" i="20"/>
  <c r="U221" i="20"/>
  <c r="X217" i="20"/>
  <c r="L17" i="25" s="1"/>
  <c r="M17" i="25" s="1"/>
  <c r="W217" i="20"/>
  <c r="J17" i="25" s="1"/>
  <c r="K17" i="25" s="1"/>
  <c r="V217" i="20"/>
  <c r="H17" i="25" s="1"/>
  <c r="I17" i="25" s="1"/>
  <c r="U217" i="20"/>
  <c r="F17" i="25" s="1"/>
  <c r="G17" i="25" s="1"/>
  <c r="X216" i="20"/>
  <c r="W216" i="20"/>
  <c r="V216" i="20"/>
  <c r="U216" i="20"/>
  <c r="U203" i="20"/>
  <c r="V203" i="20"/>
  <c r="W203" i="20"/>
  <c r="X203" i="20"/>
  <c r="U204" i="20"/>
  <c r="V204" i="20"/>
  <c r="W204" i="20"/>
  <c r="X204" i="20"/>
  <c r="U205" i="20"/>
  <c r="V205" i="20"/>
  <c r="W205" i="20"/>
  <c r="X205" i="20"/>
  <c r="U206" i="20"/>
  <c r="V206" i="20"/>
  <c r="W206" i="20"/>
  <c r="X206" i="20"/>
  <c r="U207" i="20"/>
  <c r="V207" i="20"/>
  <c r="W207" i="20"/>
  <c r="X207" i="20"/>
  <c r="U208" i="20"/>
  <c r="V208" i="20"/>
  <c r="W208" i="20"/>
  <c r="X208" i="20"/>
  <c r="U209" i="20"/>
  <c r="V209" i="20"/>
  <c r="W209" i="20"/>
  <c r="X209" i="20"/>
  <c r="U210" i="20"/>
  <c r="V210" i="20"/>
  <c r="W210" i="20"/>
  <c r="X210" i="20"/>
  <c r="U211" i="20"/>
  <c r="V211" i="20"/>
  <c r="W211" i="20"/>
  <c r="X211" i="20"/>
  <c r="X202" i="20"/>
  <c r="W202" i="20"/>
  <c r="V202" i="20"/>
  <c r="U202" i="20"/>
  <c r="U173" i="20"/>
  <c r="V173" i="20"/>
  <c r="W173" i="20"/>
  <c r="X173" i="20"/>
  <c r="U174" i="20"/>
  <c r="V174" i="20"/>
  <c r="W174" i="20"/>
  <c r="X174" i="20"/>
  <c r="U175" i="20"/>
  <c r="V175" i="20"/>
  <c r="W175" i="20"/>
  <c r="X175" i="20"/>
  <c r="U176" i="20"/>
  <c r="V176" i="20"/>
  <c r="W176" i="20"/>
  <c r="X176" i="20"/>
  <c r="U177" i="20"/>
  <c r="V177" i="20"/>
  <c r="W177" i="20"/>
  <c r="X177" i="20"/>
  <c r="U178" i="20"/>
  <c r="V178" i="20"/>
  <c r="W178" i="20"/>
  <c r="X178" i="20"/>
  <c r="U179" i="20"/>
  <c r="V179" i="20"/>
  <c r="W179" i="20"/>
  <c r="X179" i="20"/>
  <c r="U180" i="20"/>
  <c r="V180" i="20"/>
  <c r="W180" i="20"/>
  <c r="X180" i="20"/>
  <c r="U181" i="20"/>
  <c r="V181" i="20"/>
  <c r="W181" i="20"/>
  <c r="X181" i="20"/>
  <c r="U182" i="20"/>
  <c r="V182" i="20"/>
  <c r="W182" i="20"/>
  <c r="X182" i="20"/>
  <c r="U183" i="20"/>
  <c r="V183" i="20"/>
  <c r="W183" i="20"/>
  <c r="X183" i="20"/>
  <c r="U184" i="20"/>
  <c r="V184" i="20"/>
  <c r="W184" i="20"/>
  <c r="X184" i="20"/>
  <c r="U185" i="20"/>
  <c r="V185" i="20"/>
  <c r="W185" i="20"/>
  <c r="X185" i="20"/>
  <c r="U186" i="20"/>
  <c r="V186" i="20"/>
  <c r="W186" i="20"/>
  <c r="X186" i="20"/>
  <c r="U187" i="20"/>
  <c r="V187" i="20"/>
  <c r="W187" i="20"/>
  <c r="X187" i="20"/>
  <c r="U188" i="20"/>
  <c r="V188" i="20"/>
  <c r="W188" i="20"/>
  <c r="X188" i="20"/>
  <c r="U189" i="20"/>
  <c r="V189" i="20"/>
  <c r="W189" i="20"/>
  <c r="X189" i="20"/>
  <c r="U190" i="20"/>
  <c r="V190" i="20"/>
  <c r="W190" i="20"/>
  <c r="X190" i="20"/>
  <c r="U191" i="20"/>
  <c r="V191" i="20"/>
  <c r="W191" i="20"/>
  <c r="X191" i="20"/>
  <c r="U192" i="20"/>
  <c r="V192" i="20"/>
  <c r="W192" i="20"/>
  <c r="X192" i="20"/>
  <c r="U193" i="20"/>
  <c r="V193" i="20"/>
  <c r="W193" i="20"/>
  <c r="X193" i="20"/>
  <c r="U194" i="20"/>
  <c r="V194" i="20"/>
  <c r="W194" i="20"/>
  <c r="X194" i="20"/>
  <c r="U195" i="20"/>
  <c r="V195" i="20"/>
  <c r="W195" i="20"/>
  <c r="X195" i="20"/>
  <c r="U196" i="20"/>
  <c r="V196" i="20"/>
  <c r="W196" i="20"/>
  <c r="X196" i="20"/>
  <c r="U197" i="20"/>
  <c r="V197" i="20"/>
  <c r="W197" i="20"/>
  <c r="X197" i="20"/>
  <c r="X172" i="20"/>
  <c r="W172" i="20"/>
  <c r="V172" i="20"/>
  <c r="U172" i="20"/>
  <c r="U138" i="20"/>
  <c r="V138" i="20"/>
  <c r="W138" i="20"/>
  <c r="X138" i="20"/>
  <c r="U139" i="20"/>
  <c r="V139" i="20"/>
  <c r="W139" i="20"/>
  <c r="X139" i="20"/>
  <c r="U140" i="20"/>
  <c r="V140" i="20"/>
  <c r="W140" i="20"/>
  <c r="X140" i="20"/>
  <c r="U141" i="20"/>
  <c r="V141" i="20"/>
  <c r="W141" i="20"/>
  <c r="X141" i="20"/>
  <c r="U142" i="20"/>
  <c r="V142" i="20"/>
  <c r="W142" i="20"/>
  <c r="X142" i="20"/>
  <c r="U143" i="20"/>
  <c r="V143" i="20"/>
  <c r="W143" i="20"/>
  <c r="X143" i="20"/>
  <c r="U144" i="20"/>
  <c r="V144" i="20"/>
  <c r="W144" i="20"/>
  <c r="X144" i="20"/>
  <c r="U145" i="20"/>
  <c r="V145" i="20"/>
  <c r="W145" i="20"/>
  <c r="X145" i="20"/>
  <c r="U146" i="20"/>
  <c r="V146" i="20"/>
  <c r="W146" i="20"/>
  <c r="X146" i="20"/>
  <c r="U147" i="20"/>
  <c r="V147" i="20"/>
  <c r="W147" i="20"/>
  <c r="X147" i="20"/>
  <c r="U148" i="20"/>
  <c r="V148" i="20"/>
  <c r="W148" i="20"/>
  <c r="X148" i="20"/>
  <c r="U149" i="20"/>
  <c r="V149" i="20"/>
  <c r="W149" i="20"/>
  <c r="X149" i="20"/>
  <c r="U150" i="20"/>
  <c r="V150" i="20"/>
  <c r="W150" i="20"/>
  <c r="X150" i="20"/>
  <c r="U151" i="20"/>
  <c r="V151" i="20"/>
  <c r="W151" i="20"/>
  <c r="X151" i="20"/>
  <c r="U152" i="20"/>
  <c r="V152" i="20"/>
  <c r="W152" i="20"/>
  <c r="X152" i="20"/>
  <c r="U153" i="20"/>
  <c r="V153" i="20"/>
  <c r="W153" i="20"/>
  <c r="X153" i="20"/>
  <c r="U154" i="20"/>
  <c r="V154" i="20"/>
  <c r="W154" i="20"/>
  <c r="X154" i="20"/>
  <c r="U155" i="20"/>
  <c r="V155" i="20"/>
  <c r="W155" i="20"/>
  <c r="X155" i="20"/>
  <c r="U156" i="20"/>
  <c r="V156" i="20"/>
  <c r="W156" i="20"/>
  <c r="X156" i="20"/>
  <c r="U157" i="20"/>
  <c r="V157" i="20"/>
  <c r="W157" i="20"/>
  <c r="X157" i="20"/>
  <c r="U158" i="20"/>
  <c r="V158" i="20"/>
  <c r="W158" i="20"/>
  <c r="X158" i="20"/>
  <c r="U159" i="20"/>
  <c r="V159" i="20"/>
  <c r="W159" i="20"/>
  <c r="X159" i="20"/>
  <c r="U160" i="20"/>
  <c r="V160" i="20"/>
  <c r="W160" i="20"/>
  <c r="X160" i="20"/>
  <c r="U161" i="20"/>
  <c r="V161" i="20"/>
  <c r="W161" i="20"/>
  <c r="X161" i="20"/>
  <c r="U162" i="20"/>
  <c r="V162" i="20"/>
  <c r="W162" i="20"/>
  <c r="X162" i="20"/>
  <c r="U163" i="20"/>
  <c r="V163" i="20"/>
  <c r="W163" i="20"/>
  <c r="X163" i="20"/>
  <c r="U164" i="20"/>
  <c r="V164" i="20"/>
  <c r="W164" i="20"/>
  <c r="X164" i="20"/>
  <c r="U165" i="20"/>
  <c r="V165" i="20"/>
  <c r="W165" i="20"/>
  <c r="X165" i="20"/>
  <c r="U166" i="20"/>
  <c r="V166" i="20"/>
  <c r="W166" i="20"/>
  <c r="X166" i="20"/>
  <c r="X137" i="20"/>
  <c r="W137" i="20"/>
  <c r="V137" i="20"/>
  <c r="U137" i="20"/>
  <c r="W131" i="20"/>
  <c r="X74" i="20"/>
  <c r="U131" i="20"/>
  <c r="X131" i="20"/>
  <c r="X105" i="20"/>
  <c r="X106" i="20"/>
  <c r="X107" i="20"/>
  <c r="X108" i="20"/>
  <c r="X109" i="20"/>
  <c r="X110" i="20"/>
  <c r="X111" i="20"/>
  <c r="X112" i="20"/>
  <c r="X113" i="20"/>
  <c r="X114" i="20"/>
  <c r="X115" i="20"/>
  <c r="X116" i="20"/>
  <c r="X117" i="20"/>
  <c r="X118" i="20"/>
  <c r="X119" i="20"/>
  <c r="X120" i="20"/>
  <c r="X121" i="20"/>
  <c r="X122" i="20"/>
  <c r="X123" i="20"/>
  <c r="X124" i="20"/>
  <c r="X125" i="20"/>
  <c r="X126" i="20"/>
  <c r="X127" i="20"/>
  <c r="X128" i="20"/>
  <c r="X129" i="20"/>
  <c r="X130" i="20"/>
  <c r="W105" i="20"/>
  <c r="W106" i="20"/>
  <c r="W107" i="20"/>
  <c r="W108" i="20"/>
  <c r="W111" i="20"/>
  <c r="W112" i="20"/>
  <c r="W113" i="20"/>
  <c r="W114" i="20"/>
  <c r="W115" i="20"/>
  <c r="W116" i="20"/>
  <c r="W117" i="20"/>
  <c r="W119" i="20"/>
  <c r="W120" i="20"/>
  <c r="W121" i="20"/>
  <c r="W122" i="20"/>
  <c r="W123" i="20"/>
  <c r="W124" i="20"/>
  <c r="W125" i="20"/>
  <c r="W126" i="20"/>
  <c r="W127" i="20"/>
  <c r="W128" i="20"/>
  <c r="W129" i="20"/>
  <c r="W130" i="20"/>
  <c r="V105" i="20"/>
  <c r="V106" i="20"/>
  <c r="V107" i="20"/>
  <c r="V108" i="20"/>
  <c r="V109" i="20"/>
  <c r="V110" i="20"/>
  <c r="V111" i="20"/>
  <c r="V112" i="20"/>
  <c r="V113" i="20"/>
  <c r="V114" i="20"/>
  <c r="V115" i="20"/>
  <c r="V116" i="20"/>
  <c r="V117" i="20"/>
  <c r="V118" i="20"/>
  <c r="V119" i="20"/>
  <c r="V120" i="20"/>
  <c r="V121" i="20"/>
  <c r="V122" i="20"/>
  <c r="V123" i="20"/>
  <c r="V124" i="20"/>
  <c r="V125" i="20"/>
  <c r="V126" i="20"/>
  <c r="V127" i="20"/>
  <c r="V128" i="20"/>
  <c r="V129" i="20"/>
  <c r="V130" i="20"/>
  <c r="V131" i="20"/>
  <c r="U105" i="20"/>
  <c r="U106" i="20"/>
  <c r="U107" i="20"/>
  <c r="U108" i="20"/>
  <c r="U109" i="20"/>
  <c r="U110" i="20"/>
  <c r="U111" i="20"/>
  <c r="U112" i="20"/>
  <c r="U113" i="20"/>
  <c r="U114" i="20"/>
  <c r="U115" i="20"/>
  <c r="U116" i="20"/>
  <c r="U117" i="20"/>
  <c r="U118" i="20"/>
  <c r="U119" i="20"/>
  <c r="U120" i="20"/>
  <c r="U121" i="20"/>
  <c r="U122" i="20"/>
  <c r="U123" i="20"/>
  <c r="U124" i="20"/>
  <c r="U125" i="20"/>
  <c r="U126" i="20"/>
  <c r="U127" i="20"/>
  <c r="U128" i="20"/>
  <c r="U129" i="20"/>
  <c r="U130" i="20"/>
  <c r="U104" i="20"/>
  <c r="V104" i="20"/>
  <c r="W104" i="20"/>
  <c r="X104" i="20"/>
  <c r="X45" i="20"/>
  <c r="X46" i="20"/>
  <c r="X47" i="20"/>
  <c r="X48" i="20"/>
  <c r="X49" i="20"/>
  <c r="X50" i="20"/>
  <c r="X51" i="20"/>
  <c r="X52" i="20"/>
  <c r="X53" i="20"/>
  <c r="X54" i="20"/>
  <c r="X55" i="20"/>
  <c r="X56" i="20"/>
  <c r="X57" i="20"/>
  <c r="X58" i="20"/>
  <c r="X59" i="20"/>
  <c r="X60" i="20"/>
  <c r="X61" i="20"/>
  <c r="X62" i="20"/>
  <c r="X63" i="20"/>
  <c r="X64" i="20"/>
  <c r="X65" i="20"/>
  <c r="X66" i="20"/>
  <c r="X67" i="20"/>
  <c r="X68" i="20"/>
  <c r="X69" i="20"/>
  <c r="X70" i="20"/>
  <c r="X71" i="20"/>
  <c r="X72" i="20"/>
  <c r="X73" i="20"/>
  <c r="X75" i="20"/>
  <c r="X76" i="20"/>
  <c r="X77" i="20"/>
  <c r="X78" i="20"/>
  <c r="X79" i="20"/>
  <c r="X80" i="20"/>
  <c r="X81" i="20"/>
  <c r="X82" i="20"/>
  <c r="X83" i="20"/>
  <c r="X84" i="20"/>
  <c r="X85" i="20"/>
  <c r="X86" i="20"/>
  <c r="X87" i="20"/>
  <c r="X88" i="20"/>
  <c r="X89" i="20"/>
  <c r="X90" i="20"/>
  <c r="X91" i="20"/>
  <c r="X92" i="20"/>
  <c r="X93" i="20"/>
  <c r="X94" i="20"/>
  <c r="X95" i="20"/>
  <c r="X96" i="20"/>
  <c r="X97" i="20"/>
  <c r="X98" i="20"/>
  <c r="X99" i="20"/>
  <c r="X100" i="20"/>
  <c r="X101" i="20"/>
  <c r="X102" i="20"/>
  <c r="W45" i="20"/>
  <c r="W46" i="20"/>
  <c r="W47" i="20"/>
  <c r="W48" i="20"/>
  <c r="W49" i="20"/>
  <c r="W50" i="20"/>
  <c r="W51" i="20"/>
  <c r="W52" i="20"/>
  <c r="W53" i="20"/>
  <c r="W54" i="20"/>
  <c r="W55" i="20"/>
  <c r="W56" i="20"/>
  <c r="W57" i="20"/>
  <c r="W58" i="20"/>
  <c r="W59" i="20"/>
  <c r="W60" i="20"/>
  <c r="W61" i="20"/>
  <c r="W62" i="20"/>
  <c r="W63" i="20"/>
  <c r="W64" i="20"/>
  <c r="W65" i="20"/>
  <c r="W66" i="20"/>
  <c r="W67" i="20"/>
  <c r="W68" i="20"/>
  <c r="W69" i="20"/>
  <c r="W70" i="20"/>
  <c r="W71" i="20"/>
  <c r="W72" i="20"/>
  <c r="W73" i="20"/>
  <c r="W74" i="20"/>
  <c r="W75" i="20"/>
  <c r="W76" i="20"/>
  <c r="W77" i="20"/>
  <c r="W78" i="20"/>
  <c r="W79" i="20"/>
  <c r="W80" i="20"/>
  <c r="W81" i="20"/>
  <c r="W82" i="20"/>
  <c r="W83" i="20"/>
  <c r="W84" i="20"/>
  <c r="W85" i="20"/>
  <c r="W86" i="20"/>
  <c r="W87" i="20"/>
  <c r="W88" i="20"/>
  <c r="W89" i="20"/>
  <c r="W90" i="20"/>
  <c r="W91" i="20"/>
  <c r="W92" i="20"/>
  <c r="W93" i="20"/>
  <c r="W94" i="20"/>
  <c r="W95" i="20"/>
  <c r="W96" i="20"/>
  <c r="W97" i="20"/>
  <c r="W98" i="20"/>
  <c r="W99" i="20"/>
  <c r="W100" i="20"/>
  <c r="W101" i="20"/>
  <c r="W102" i="20"/>
  <c r="V45" i="20"/>
  <c r="V46" i="20"/>
  <c r="V47" i="20"/>
  <c r="V48" i="20"/>
  <c r="V49" i="20"/>
  <c r="V50" i="20"/>
  <c r="V51" i="20"/>
  <c r="V52" i="20"/>
  <c r="V53" i="20"/>
  <c r="V54" i="20"/>
  <c r="V55" i="20"/>
  <c r="V56" i="20"/>
  <c r="V57" i="20"/>
  <c r="V58" i="20"/>
  <c r="V59" i="20"/>
  <c r="V60" i="20"/>
  <c r="V61" i="20"/>
  <c r="V62" i="20"/>
  <c r="V63" i="20"/>
  <c r="V64" i="20"/>
  <c r="V65" i="20"/>
  <c r="V66" i="20"/>
  <c r="V67" i="20"/>
  <c r="V68" i="20"/>
  <c r="V69" i="20"/>
  <c r="V70" i="20"/>
  <c r="V71" i="20"/>
  <c r="V72" i="20"/>
  <c r="V73" i="20"/>
  <c r="V74" i="20"/>
  <c r="V75" i="20"/>
  <c r="V76" i="20"/>
  <c r="V77" i="20"/>
  <c r="V78" i="20"/>
  <c r="V79" i="20"/>
  <c r="V80" i="20"/>
  <c r="V81" i="20"/>
  <c r="V82" i="20"/>
  <c r="V83" i="20"/>
  <c r="V84" i="20"/>
  <c r="V85" i="20"/>
  <c r="V86" i="20"/>
  <c r="V87" i="20"/>
  <c r="V88" i="20"/>
  <c r="V89" i="20"/>
  <c r="V90" i="20"/>
  <c r="V91" i="20"/>
  <c r="V92" i="20"/>
  <c r="V93" i="20"/>
  <c r="V94" i="20"/>
  <c r="V95" i="20"/>
  <c r="V96" i="20"/>
  <c r="V97" i="20"/>
  <c r="V98" i="20"/>
  <c r="V99" i="20"/>
  <c r="V100" i="20"/>
  <c r="V101" i="20"/>
  <c r="V102" i="20"/>
  <c r="U45" i="20"/>
  <c r="U46" i="20"/>
  <c r="U47" i="20"/>
  <c r="U48" i="20"/>
  <c r="U49" i="20"/>
  <c r="U50" i="20"/>
  <c r="U51" i="20"/>
  <c r="U52" i="20"/>
  <c r="U53" i="20"/>
  <c r="U54" i="20"/>
  <c r="U55" i="20"/>
  <c r="U56" i="20"/>
  <c r="U57" i="20"/>
  <c r="U58" i="20"/>
  <c r="U59" i="20"/>
  <c r="U60" i="20"/>
  <c r="U61" i="20"/>
  <c r="U62" i="20"/>
  <c r="U63" i="20"/>
  <c r="U64" i="20"/>
  <c r="U65" i="20"/>
  <c r="U66" i="20"/>
  <c r="U67" i="20"/>
  <c r="U68" i="20"/>
  <c r="U69" i="20"/>
  <c r="U70" i="20"/>
  <c r="U71" i="20"/>
  <c r="U72" i="20"/>
  <c r="U73" i="20"/>
  <c r="U74" i="20"/>
  <c r="U75" i="20"/>
  <c r="U76" i="20"/>
  <c r="U77" i="20"/>
  <c r="U78" i="20"/>
  <c r="U79" i="20"/>
  <c r="U80" i="20"/>
  <c r="U81" i="20"/>
  <c r="U82" i="20"/>
  <c r="U83" i="20"/>
  <c r="U84" i="20"/>
  <c r="U85" i="20"/>
  <c r="U86" i="20"/>
  <c r="U87" i="20"/>
  <c r="U88" i="20"/>
  <c r="U89" i="20"/>
  <c r="U90" i="20"/>
  <c r="U91" i="20"/>
  <c r="U92" i="20"/>
  <c r="U93" i="20"/>
  <c r="U94" i="20"/>
  <c r="U95" i="20"/>
  <c r="U96" i="20"/>
  <c r="U97" i="20"/>
  <c r="U98" i="20"/>
  <c r="U99" i="20"/>
  <c r="U100" i="20"/>
  <c r="U101" i="20"/>
  <c r="U102" i="20"/>
  <c r="X44" i="20"/>
  <c r="W44" i="20"/>
  <c r="V44" i="20"/>
  <c r="U44" i="20"/>
  <c r="X6" i="20"/>
  <c r="X7" i="20"/>
  <c r="X8" i="20"/>
  <c r="X9" i="20"/>
  <c r="X10" i="20"/>
  <c r="X11" i="20"/>
  <c r="X12" i="20"/>
  <c r="X13" i="20"/>
  <c r="X14" i="20"/>
  <c r="X15" i="20"/>
  <c r="X16" i="20"/>
  <c r="X17" i="20"/>
  <c r="X18" i="20"/>
  <c r="X19" i="20"/>
  <c r="X20" i="20"/>
  <c r="X21" i="20"/>
  <c r="X22" i="20"/>
  <c r="X23" i="20"/>
  <c r="X24" i="20"/>
  <c r="X25" i="20"/>
  <c r="X26" i="20"/>
  <c r="X27" i="20"/>
  <c r="X28" i="20"/>
  <c r="X29" i="20"/>
  <c r="X30" i="20"/>
  <c r="X31" i="20"/>
  <c r="X32" i="20"/>
  <c r="X33" i="20"/>
  <c r="X34" i="20"/>
  <c r="X35" i="20"/>
  <c r="X36" i="20"/>
  <c r="X37" i="20"/>
  <c r="X38" i="20"/>
  <c r="X5" i="20"/>
  <c r="W38" i="20"/>
  <c r="W6" i="20"/>
  <c r="W7" i="20"/>
  <c r="W8" i="20"/>
  <c r="W9" i="20"/>
  <c r="W10" i="20"/>
  <c r="W11" i="20"/>
  <c r="W12" i="20"/>
  <c r="W13" i="20"/>
  <c r="W14" i="20"/>
  <c r="W15" i="20"/>
  <c r="W16" i="20"/>
  <c r="W17" i="20"/>
  <c r="W18" i="20"/>
  <c r="W19" i="20"/>
  <c r="W20" i="20"/>
  <c r="W21" i="20"/>
  <c r="W22" i="20"/>
  <c r="W23" i="20"/>
  <c r="W24" i="20"/>
  <c r="W25" i="20"/>
  <c r="W26" i="20"/>
  <c r="W27" i="20"/>
  <c r="W28" i="20"/>
  <c r="W29" i="20"/>
  <c r="W30" i="20"/>
  <c r="W31" i="20"/>
  <c r="W32" i="20"/>
  <c r="W33" i="20"/>
  <c r="W34" i="20"/>
  <c r="W35" i="20"/>
  <c r="W36" i="20"/>
  <c r="W37" i="20"/>
  <c r="W5" i="20"/>
  <c r="V38" i="20"/>
  <c r="V6" i="20"/>
  <c r="V7" i="20"/>
  <c r="V8" i="20"/>
  <c r="V9" i="20"/>
  <c r="V10" i="20"/>
  <c r="V11" i="20"/>
  <c r="V12" i="20"/>
  <c r="V13" i="20"/>
  <c r="V14" i="20"/>
  <c r="V15" i="20"/>
  <c r="V16" i="20"/>
  <c r="V17" i="20"/>
  <c r="V18" i="20"/>
  <c r="V19" i="20"/>
  <c r="V20" i="20"/>
  <c r="V21" i="20"/>
  <c r="V22" i="20"/>
  <c r="V23" i="20"/>
  <c r="V24" i="20"/>
  <c r="V25" i="20"/>
  <c r="V26" i="20"/>
  <c r="V27" i="20"/>
  <c r="V28" i="20"/>
  <c r="V29" i="20"/>
  <c r="V30" i="20"/>
  <c r="V31" i="20"/>
  <c r="V32" i="20"/>
  <c r="V33" i="20"/>
  <c r="V34" i="20"/>
  <c r="V35" i="20"/>
  <c r="V36" i="20"/>
  <c r="V37" i="20"/>
  <c r="V5" i="20"/>
  <c r="U6" i="20"/>
  <c r="U7" i="20"/>
  <c r="U8" i="20"/>
  <c r="U9" i="20"/>
  <c r="U10" i="20"/>
  <c r="U11" i="20"/>
  <c r="U12" i="20"/>
  <c r="U13" i="20"/>
  <c r="U14" i="20"/>
  <c r="U15" i="20"/>
  <c r="U16" i="20"/>
  <c r="U17" i="20"/>
  <c r="U18" i="20"/>
  <c r="U19" i="20"/>
  <c r="U20" i="20"/>
  <c r="U21" i="20"/>
  <c r="U22" i="20"/>
  <c r="U23" i="20"/>
  <c r="U24" i="20"/>
  <c r="U25" i="20"/>
  <c r="U26" i="20"/>
  <c r="U27" i="20"/>
  <c r="U28" i="20"/>
  <c r="U29" i="20"/>
  <c r="U30" i="20"/>
  <c r="U31" i="20"/>
  <c r="U32" i="20"/>
  <c r="U33" i="20"/>
  <c r="U34" i="20"/>
  <c r="U35" i="20"/>
  <c r="U36" i="20"/>
  <c r="U37" i="20"/>
  <c r="U5" i="20"/>
  <c r="W198" i="20" l="1"/>
  <c r="J7" i="25" s="1"/>
  <c r="W232" i="20"/>
  <c r="J9" i="25" s="1"/>
  <c r="K9" i="25" s="1"/>
  <c r="W167" i="20"/>
  <c r="J6" i="25" s="1"/>
  <c r="W212" i="20"/>
  <c r="J16" i="25" s="1"/>
  <c r="K16" i="25" s="1"/>
  <c r="W240" i="20"/>
  <c r="J24" i="25" s="1"/>
  <c r="K24" i="25" s="1"/>
  <c r="X258" i="20"/>
  <c r="L11" i="25" s="1"/>
  <c r="M11" i="25" s="1"/>
  <c r="X267" i="20"/>
  <c r="L22" i="25" s="1"/>
  <c r="M22" i="25" s="1"/>
  <c r="X132" i="20"/>
  <c r="L8" i="25" s="1"/>
  <c r="L15" i="25" s="1"/>
  <c r="V167" i="20"/>
  <c r="H6" i="25" s="1"/>
  <c r="V198" i="20"/>
  <c r="H7" i="25" s="1"/>
  <c r="I7" i="25" s="1"/>
  <c r="V212" i="20"/>
  <c r="H16" i="25" s="1"/>
  <c r="I16" i="25" s="1"/>
  <c r="V232" i="20"/>
  <c r="H9" i="25" s="1"/>
  <c r="I9" i="25" s="1"/>
  <c r="W267" i="20"/>
  <c r="J22" i="25" s="1"/>
  <c r="K22" i="25" s="1"/>
  <c r="X167" i="20"/>
  <c r="L6" i="25" s="1"/>
  <c r="L13" i="25" s="1"/>
  <c r="U167" i="20"/>
  <c r="F6" i="25" s="1"/>
  <c r="G6" i="25" s="1"/>
  <c r="X198" i="20"/>
  <c r="L7" i="25" s="1"/>
  <c r="M7" i="25" s="1"/>
  <c r="U198" i="20"/>
  <c r="F7" i="25" s="1"/>
  <c r="X212" i="20"/>
  <c r="L16" i="25" s="1"/>
  <c r="M16" i="25" s="1"/>
  <c r="U212" i="20"/>
  <c r="F16" i="25" s="1"/>
  <c r="G16" i="25" s="1"/>
  <c r="X232" i="20"/>
  <c r="L9" i="25" s="1"/>
  <c r="M9" i="25" s="1"/>
  <c r="U232" i="20"/>
  <c r="F9" i="25" s="1"/>
  <c r="G9" i="25" s="1"/>
  <c r="X240" i="20"/>
  <c r="L24" i="25" s="1"/>
  <c r="M24" i="25" s="1"/>
  <c r="U240" i="20"/>
  <c r="F24" i="25" s="1"/>
  <c r="G24" i="25" s="1"/>
  <c r="W258" i="20"/>
  <c r="J11" i="25" s="1"/>
  <c r="K11" i="25" s="1"/>
  <c r="V258" i="20"/>
  <c r="H11" i="25" s="1"/>
  <c r="I11" i="25" s="1"/>
  <c r="V132" i="20"/>
  <c r="H8" i="25" s="1"/>
  <c r="H15" i="25" s="1"/>
  <c r="U132" i="20"/>
  <c r="F8" i="25" s="1"/>
  <c r="F15" i="25" s="1"/>
  <c r="U258" i="20"/>
  <c r="F11" i="25" s="1"/>
  <c r="G11" i="25" s="1"/>
  <c r="J13" i="25"/>
  <c r="K6" i="25"/>
  <c r="H13" i="25"/>
  <c r="I6" i="25"/>
  <c r="J14" i="25"/>
  <c r="K7" i="25"/>
  <c r="F13" i="25"/>
  <c r="F14" i="25"/>
  <c r="G7" i="25"/>
  <c r="F22" i="25"/>
  <c r="G22" i="25" s="1"/>
  <c r="Y217" i="20"/>
  <c r="V39" i="20"/>
  <c r="H5" i="25" s="1"/>
  <c r="W39" i="20"/>
  <c r="J5" i="25" s="1"/>
  <c r="X39" i="20"/>
  <c r="L5" i="25" s="1"/>
  <c r="M6" i="25" l="1"/>
  <c r="L14" i="25"/>
  <c r="L20" i="25" s="1"/>
  <c r="M20" i="25" s="1"/>
  <c r="H14" i="25"/>
  <c r="H20" i="25" s="1"/>
  <c r="I20" i="25" s="1"/>
  <c r="M8" i="25"/>
  <c r="I8" i="25"/>
  <c r="G8" i="25"/>
  <c r="L12" i="25"/>
  <c r="M5" i="25"/>
  <c r="G32" i="25" s="1"/>
  <c r="J20" i="25"/>
  <c r="K20" i="25" s="1"/>
  <c r="K14" i="25"/>
  <c r="F21" i="25"/>
  <c r="G21" i="25" s="1"/>
  <c r="G15" i="25"/>
  <c r="H12" i="25"/>
  <c r="I5" i="25"/>
  <c r="D32" i="25" s="1"/>
  <c r="F20" i="25"/>
  <c r="G20" i="25" s="1"/>
  <c r="G14" i="25"/>
  <c r="F19" i="25"/>
  <c r="G19" i="25" s="1"/>
  <c r="G13" i="25"/>
  <c r="J12" i="25"/>
  <c r="K5" i="25"/>
  <c r="H19" i="25"/>
  <c r="I19" i="25" s="1"/>
  <c r="I13" i="25"/>
  <c r="L21" i="25"/>
  <c r="M21" i="25" s="1"/>
  <c r="M15" i="25"/>
  <c r="H21" i="25"/>
  <c r="I21" i="25" s="1"/>
  <c r="I15" i="25"/>
  <c r="M14" i="25"/>
  <c r="L19" i="25"/>
  <c r="M19" i="25" s="1"/>
  <c r="M13" i="25"/>
  <c r="J19" i="25"/>
  <c r="K19" i="25" s="1"/>
  <c r="K13" i="25"/>
  <c r="I14" i="25" l="1"/>
  <c r="J18" i="25"/>
  <c r="K18" i="25" s="1"/>
  <c r="K12" i="25"/>
  <c r="L18" i="25"/>
  <c r="M18" i="25" s="1"/>
  <c r="M12" i="25"/>
  <c r="G39" i="25" s="1"/>
  <c r="H18" i="25"/>
  <c r="I18" i="25" s="1"/>
  <c r="I12" i="25"/>
  <c r="D39" i="25" s="1"/>
  <c r="P133" i="19"/>
  <c r="P134" i="19"/>
  <c r="P135" i="19"/>
  <c r="P126" i="19"/>
  <c r="P127" i="19"/>
  <c r="P125" i="19"/>
  <c r="P110" i="19"/>
  <c r="P111" i="19"/>
  <c r="P112" i="19"/>
  <c r="P113" i="19"/>
  <c r="P114" i="19"/>
  <c r="P115" i="19"/>
  <c r="P116" i="19"/>
  <c r="P117" i="19"/>
  <c r="P118" i="19"/>
  <c r="P119" i="19"/>
  <c r="P109" i="19"/>
  <c r="P96" i="19"/>
  <c r="P97" i="19"/>
  <c r="P98" i="19"/>
  <c r="P99" i="19"/>
  <c r="P100" i="19"/>
  <c r="P101" i="19"/>
  <c r="P102" i="19"/>
  <c r="P103" i="19"/>
  <c r="P104" i="19"/>
  <c r="P95" i="19"/>
  <c r="P82" i="19"/>
  <c r="P83" i="19"/>
  <c r="P84" i="19"/>
  <c r="P85" i="19"/>
  <c r="P86" i="19"/>
  <c r="P87" i="19"/>
  <c r="P88" i="19"/>
  <c r="P89" i="19"/>
  <c r="P90" i="19"/>
  <c r="Q90" i="19" s="1"/>
  <c r="P71" i="19"/>
  <c r="P72" i="19"/>
  <c r="P73" i="19"/>
  <c r="P74" i="19"/>
  <c r="P75" i="19"/>
  <c r="P76" i="19"/>
  <c r="P70" i="19"/>
  <c r="P50" i="19"/>
  <c r="P51" i="19"/>
  <c r="P52" i="19"/>
  <c r="P53" i="19"/>
  <c r="P56" i="19"/>
  <c r="P57" i="19"/>
  <c r="P59" i="19"/>
  <c r="P60" i="19"/>
  <c r="P61" i="19"/>
  <c r="P62" i="19"/>
  <c r="P63" i="19"/>
  <c r="P64" i="19"/>
  <c r="P49" i="19"/>
  <c r="P45" i="19"/>
  <c r="P46" i="19"/>
  <c r="P47" i="19"/>
  <c r="P48" i="19"/>
  <c r="P44" i="19"/>
  <c r="P6" i="19"/>
  <c r="P7" i="19"/>
  <c r="P8" i="19"/>
  <c r="P9" i="19"/>
  <c r="P10" i="19"/>
  <c r="P11" i="19"/>
  <c r="P12" i="19"/>
  <c r="P13" i="19"/>
  <c r="P14" i="19"/>
  <c r="P15" i="19"/>
  <c r="P16" i="19"/>
  <c r="P17" i="19"/>
  <c r="P18" i="19"/>
  <c r="P19" i="19"/>
  <c r="P20" i="19"/>
  <c r="P21" i="19"/>
  <c r="P22" i="19"/>
  <c r="P23" i="19"/>
  <c r="P24" i="19"/>
  <c r="P25" i="19"/>
  <c r="P26" i="19"/>
  <c r="P27" i="19"/>
  <c r="P28" i="19"/>
  <c r="P29" i="19"/>
  <c r="Q29" i="19" s="1"/>
  <c r="P30" i="19"/>
  <c r="P31" i="19"/>
  <c r="P32" i="19"/>
  <c r="P33" i="19"/>
  <c r="P34" i="19"/>
  <c r="P35" i="19"/>
  <c r="P36" i="19"/>
  <c r="P37" i="19"/>
  <c r="P5" i="19"/>
  <c r="N89" i="24"/>
  <c r="Q89" i="24" s="1"/>
  <c r="R89" i="24" s="1"/>
  <c r="N90" i="24"/>
  <c r="Q90" i="24" s="1"/>
  <c r="R90" i="24" s="1"/>
  <c r="N91" i="24"/>
  <c r="Q91" i="24" s="1"/>
  <c r="R91" i="24" s="1"/>
  <c r="N92" i="24"/>
  <c r="Q92" i="24" s="1"/>
  <c r="R92" i="24" s="1"/>
  <c r="N93" i="24"/>
  <c r="Q93" i="24" s="1"/>
  <c r="R93" i="24" s="1"/>
  <c r="N94" i="24"/>
  <c r="Q94" i="24" s="1"/>
  <c r="N95" i="24"/>
  <c r="Q95" i="24" s="1"/>
  <c r="R95" i="24" s="1"/>
  <c r="N96" i="24"/>
  <c r="Q96" i="24" s="1"/>
  <c r="R96" i="24" s="1"/>
  <c r="N97" i="24"/>
  <c r="Q97" i="24" s="1"/>
  <c r="R97" i="24" s="1"/>
  <c r="N98" i="24"/>
  <c r="Q98" i="24" s="1"/>
  <c r="R98" i="24" s="1"/>
  <c r="N75" i="24"/>
  <c r="N76" i="24"/>
  <c r="N77" i="24"/>
  <c r="N78" i="24"/>
  <c r="N79" i="24"/>
  <c r="N80" i="24"/>
  <c r="N81" i="24"/>
  <c r="N82" i="24"/>
  <c r="N83" i="24"/>
  <c r="N54" i="24"/>
  <c r="Q54" i="24" s="1"/>
  <c r="R54" i="24" s="1"/>
  <c r="N55" i="24"/>
  <c r="Q55" i="24" s="1"/>
  <c r="R55" i="24" s="1"/>
  <c r="Q57" i="24"/>
  <c r="R57" i="24" s="1"/>
  <c r="Q58" i="24"/>
  <c r="N59" i="24"/>
  <c r="N60" i="24"/>
  <c r="N64" i="24"/>
  <c r="Q64" i="24" s="1"/>
  <c r="N65" i="24"/>
  <c r="Q65" i="24" s="1"/>
  <c r="R65" i="24" s="1"/>
  <c r="N66" i="24"/>
  <c r="Q66" i="24" s="1"/>
  <c r="R66" i="24" s="1"/>
  <c r="N67" i="24"/>
  <c r="Q67" i="24" s="1"/>
  <c r="R67" i="24" s="1"/>
  <c r="N68" i="24"/>
  <c r="Q68" i="24" s="1"/>
  <c r="R68" i="24" s="1"/>
  <c r="N69" i="24"/>
  <c r="Q69" i="24" s="1"/>
  <c r="R69" i="24" s="1"/>
  <c r="N45" i="24"/>
  <c r="Q45" i="24" s="1"/>
  <c r="R45" i="24" s="1"/>
  <c r="N46" i="24"/>
  <c r="Q46" i="24" s="1"/>
  <c r="R46" i="24" s="1"/>
  <c r="N47" i="24"/>
  <c r="Q47" i="24" s="1"/>
  <c r="R47" i="24" s="1"/>
  <c r="N48" i="24"/>
  <c r="Q48" i="24" s="1"/>
  <c r="R48" i="24" s="1"/>
  <c r="N4" i="24"/>
  <c r="N5" i="24"/>
  <c r="N6" i="24"/>
  <c r="N7" i="24"/>
  <c r="N8" i="24"/>
  <c r="N9" i="24"/>
  <c r="N10" i="24"/>
  <c r="N11" i="24"/>
  <c r="N12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27" i="24"/>
  <c r="N28" i="24"/>
  <c r="N29" i="24"/>
  <c r="N30" i="24"/>
  <c r="N31" i="24"/>
  <c r="N32" i="24"/>
  <c r="N33" i="24"/>
  <c r="N34" i="24"/>
  <c r="N35" i="24"/>
  <c r="Q41" i="24"/>
  <c r="R41" i="24" s="1"/>
  <c r="N42" i="24"/>
  <c r="Q42" i="24" s="1"/>
  <c r="R42" i="24" s="1"/>
  <c r="R43" i="24"/>
  <c r="N44" i="24"/>
  <c r="Q44" i="24" s="1"/>
  <c r="R44" i="24" s="1"/>
  <c r="N53" i="24"/>
  <c r="Q53" i="24" s="1"/>
  <c r="R53" i="24" s="1"/>
  <c r="N74" i="24"/>
  <c r="Q74" i="24" s="1"/>
  <c r="V74" i="24" s="1"/>
  <c r="N88" i="24"/>
  <c r="N103" i="24"/>
  <c r="N104" i="24"/>
  <c r="N109" i="24"/>
  <c r="N110" i="24"/>
  <c r="N111" i="24"/>
  <c r="N3" i="24"/>
  <c r="H111" i="24"/>
  <c r="H110" i="24"/>
  <c r="I110" i="24" s="1"/>
  <c r="H109" i="24"/>
  <c r="H104" i="24"/>
  <c r="H103" i="24"/>
  <c r="I103" i="24" s="1"/>
  <c r="H98" i="24"/>
  <c r="I98" i="24" s="1"/>
  <c r="H97" i="24"/>
  <c r="H96" i="24"/>
  <c r="H95" i="24"/>
  <c r="H94" i="24"/>
  <c r="H93" i="24"/>
  <c r="H92" i="24"/>
  <c r="H91" i="24"/>
  <c r="I91" i="24" s="1"/>
  <c r="H90" i="24"/>
  <c r="H89" i="24"/>
  <c r="H88" i="24"/>
  <c r="I88" i="24" s="1"/>
  <c r="H83" i="24"/>
  <c r="H82" i="24"/>
  <c r="H81" i="24"/>
  <c r="H80" i="24"/>
  <c r="H79" i="24"/>
  <c r="H78" i="24"/>
  <c r="H77" i="24"/>
  <c r="H76" i="24"/>
  <c r="H75" i="24"/>
  <c r="M69" i="24"/>
  <c r="K69" i="24"/>
  <c r="I69" i="24"/>
  <c r="H68" i="24"/>
  <c r="H67" i="24"/>
  <c r="H66" i="24"/>
  <c r="H65" i="24"/>
  <c r="H64" i="24"/>
  <c r="H59" i="24"/>
  <c r="H58" i="24"/>
  <c r="H57" i="24"/>
  <c r="H56" i="24"/>
  <c r="H55" i="24"/>
  <c r="I55" i="24" s="1"/>
  <c r="H54" i="24"/>
  <c r="H53" i="24"/>
  <c r="H48" i="24"/>
  <c r="I48" i="24" s="1"/>
  <c r="H47" i="24"/>
  <c r="I47" i="24" s="1"/>
  <c r="H46" i="24"/>
  <c r="I46" i="24" s="1"/>
  <c r="H45" i="24"/>
  <c r="H44" i="24"/>
  <c r="H43" i="24"/>
  <c r="H42" i="24"/>
  <c r="H41" i="24"/>
  <c r="I37" i="24"/>
  <c r="J36" i="24"/>
  <c r="N36" i="24" s="1"/>
  <c r="K31" i="24"/>
  <c r="M27" i="24"/>
  <c r="K27" i="24"/>
  <c r="K26" i="24"/>
  <c r="M24" i="24"/>
  <c r="M21" i="24"/>
  <c r="K18" i="24"/>
  <c r="K17" i="24"/>
  <c r="K16" i="24"/>
  <c r="K12" i="24"/>
  <c r="M10" i="24"/>
  <c r="M8" i="24"/>
  <c r="K7" i="24"/>
  <c r="G63" i="23"/>
  <c r="H57" i="23"/>
  <c r="K57" i="23" s="1"/>
  <c r="K52" i="23"/>
  <c r="I52" i="23"/>
  <c r="H51" i="23"/>
  <c r="K51" i="23" s="1"/>
  <c r="H50" i="23"/>
  <c r="K50" i="23" s="1"/>
  <c r="H49" i="23"/>
  <c r="I49" i="23" s="1"/>
  <c r="H48" i="23"/>
  <c r="I48" i="23" s="1"/>
  <c r="H47" i="23"/>
  <c r="I47" i="23" s="1"/>
  <c r="H41" i="23"/>
  <c r="I41" i="23" s="1"/>
  <c r="H40" i="23"/>
  <c r="I40" i="23" s="1"/>
  <c r="H39" i="23"/>
  <c r="I39" i="23" s="1"/>
  <c r="H38" i="23"/>
  <c r="K38" i="23" s="1"/>
  <c r="H37" i="23"/>
  <c r="I37" i="23" s="1"/>
  <c r="H36" i="23"/>
  <c r="K36" i="23" s="1"/>
  <c r="H35" i="23"/>
  <c r="K35" i="23" s="1"/>
  <c r="H29" i="23"/>
  <c r="I29" i="23" s="1"/>
  <c r="H28" i="23"/>
  <c r="H26" i="23"/>
  <c r="K26" i="23" s="1"/>
  <c r="H25" i="23"/>
  <c r="I25" i="23" s="1"/>
  <c r="J24" i="23"/>
  <c r="H24" i="23"/>
  <c r="I24" i="23" s="1"/>
  <c r="H23" i="23"/>
  <c r="H22" i="23"/>
  <c r="I22" i="23" s="1"/>
  <c r="J21" i="23"/>
  <c r="H21" i="23"/>
  <c r="J20" i="23"/>
  <c r="H20" i="23"/>
  <c r="I20" i="23" s="1"/>
  <c r="H19" i="23"/>
  <c r="K19" i="23" s="1"/>
  <c r="H18" i="23"/>
  <c r="H17" i="23"/>
  <c r="I17" i="23" s="1"/>
  <c r="H16" i="23"/>
  <c r="H15" i="23"/>
  <c r="I15" i="23" s="1"/>
  <c r="K14" i="23"/>
  <c r="L14" i="23" s="1"/>
  <c r="H13" i="23"/>
  <c r="I13" i="23" s="1"/>
  <c r="H12" i="23"/>
  <c r="I12" i="23" s="1"/>
  <c r="H11" i="23"/>
  <c r="I6" i="23"/>
  <c r="H5" i="23"/>
  <c r="K5" i="23" s="1"/>
  <c r="G89" i="22"/>
  <c r="H84" i="22"/>
  <c r="I84" i="22" s="1"/>
  <c r="H83" i="22"/>
  <c r="K83" i="22" s="1"/>
  <c r="H82" i="22"/>
  <c r="I82" i="22" s="1"/>
  <c r="H81" i="22"/>
  <c r="K81" i="22" s="1"/>
  <c r="H80" i="22"/>
  <c r="I80" i="22" s="1"/>
  <c r="H79" i="22"/>
  <c r="K79" i="22" s="1"/>
  <c r="H78" i="22"/>
  <c r="I78" i="22" s="1"/>
  <c r="H77" i="22"/>
  <c r="K77" i="22" s="1"/>
  <c r="H76" i="22"/>
  <c r="I76" i="22" s="1"/>
  <c r="H69" i="22"/>
  <c r="K69" i="22" s="1"/>
  <c r="H68" i="22"/>
  <c r="M68" i="22" s="1"/>
  <c r="H67" i="22"/>
  <c r="M67" i="22" s="1"/>
  <c r="H66" i="22"/>
  <c r="M66" i="22" s="1"/>
  <c r="H65" i="22"/>
  <c r="M65" i="22" s="1"/>
  <c r="H64" i="22"/>
  <c r="M64" i="22" s="1"/>
  <c r="H63" i="22"/>
  <c r="K63" i="22" s="1"/>
  <c r="H62" i="22"/>
  <c r="M62" i="22" s="1"/>
  <c r="H61" i="22"/>
  <c r="K61" i="22" s="1"/>
  <c r="H55" i="22"/>
  <c r="M55" i="22" s="1"/>
  <c r="H54" i="22"/>
  <c r="M54" i="22" s="1"/>
  <c r="H53" i="22"/>
  <c r="H52" i="22"/>
  <c r="K52" i="22" s="1"/>
  <c r="H51" i="22"/>
  <c r="K51" i="22" s="1"/>
  <c r="H45" i="22"/>
  <c r="M45" i="22" s="1"/>
  <c r="H44" i="22"/>
  <c r="M44" i="22" s="1"/>
  <c r="H43" i="22"/>
  <c r="M43" i="22" s="1"/>
  <c r="H42" i="22"/>
  <c r="M42" i="22" s="1"/>
  <c r="H41" i="22"/>
  <c r="H40" i="22"/>
  <c r="M40" i="22" s="1"/>
  <c r="H34" i="22"/>
  <c r="K34" i="22" s="1"/>
  <c r="H33" i="22"/>
  <c r="I33" i="22" s="1"/>
  <c r="H32" i="22"/>
  <c r="K32" i="22" s="1"/>
  <c r="H31" i="22"/>
  <c r="I31" i="22" s="1"/>
  <c r="H30" i="22"/>
  <c r="M30" i="22" s="1"/>
  <c r="H29" i="22"/>
  <c r="K29" i="22" s="1"/>
  <c r="H28" i="22"/>
  <c r="I23" i="22"/>
  <c r="J22" i="22"/>
  <c r="H22" i="22"/>
  <c r="M22" i="22" s="1"/>
  <c r="H21" i="22"/>
  <c r="K21" i="22" s="1"/>
  <c r="H20" i="22"/>
  <c r="M20" i="22" s="1"/>
  <c r="H19" i="22"/>
  <c r="M19" i="22" s="1"/>
  <c r="H18" i="22"/>
  <c r="K18" i="22" s="1"/>
  <c r="H17" i="22"/>
  <c r="K17" i="22" s="1"/>
  <c r="H16" i="22"/>
  <c r="M16" i="22" s="1"/>
  <c r="H15" i="22"/>
  <c r="K15" i="22" s="1"/>
  <c r="H14" i="22"/>
  <c r="M14" i="22" s="1"/>
  <c r="H13" i="22"/>
  <c r="M13" i="22" s="1"/>
  <c r="H12" i="22"/>
  <c r="M12" i="22" s="1"/>
  <c r="H11" i="22"/>
  <c r="K11" i="22" s="1"/>
  <c r="H10" i="22"/>
  <c r="M10" i="22" s="1"/>
  <c r="H9" i="22"/>
  <c r="M9" i="22" s="1"/>
  <c r="H8" i="22"/>
  <c r="M8" i="22" s="1"/>
  <c r="H7" i="22"/>
  <c r="K7" i="22" s="1"/>
  <c r="H6" i="22"/>
  <c r="K6" i="22" s="1"/>
  <c r="H5" i="22"/>
  <c r="M5" i="22" s="1"/>
  <c r="H90" i="21"/>
  <c r="H89" i="21"/>
  <c r="H88" i="21"/>
  <c r="H80" i="21"/>
  <c r="I80" i="21" s="1"/>
  <c r="H79" i="21"/>
  <c r="I79" i="21" s="1"/>
  <c r="H73" i="21"/>
  <c r="H72" i="21"/>
  <c r="H66" i="21"/>
  <c r="H65" i="21"/>
  <c r="H64" i="21"/>
  <c r="H63" i="21"/>
  <c r="H62" i="21"/>
  <c r="H61" i="21"/>
  <c r="I61" i="21" s="1"/>
  <c r="H60" i="21"/>
  <c r="H59" i="21"/>
  <c r="I59" i="21" s="1"/>
  <c r="H58" i="21"/>
  <c r="K52" i="21"/>
  <c r="L53" i="21" s="1"/>
  <c r="I52" i="21"/>
  <c r="H46" i="21"/>
  <c r="H45" i="21"/>
  <c r="K45" i="21" s="1"/>
  <c r="H44" i="21"/>
  <c r="I44" i="21" s="1"/>
  <c r="H43" i="21"/>
  <c r="K43" i="21" s="1"/>
  <c r="H36" i="21"/>
  <c r="I36" i="21" s="1"/>
  <c r="H35" i="21"/>
  <c r="I35" i="21" s="1"/>
  <c r="H34" i="21"/>
  <c r="I34" i="21" s="1"/>
  <c r="H33" i="21"/>
  <c r="I33" i="21" s="1"/>
  <c r="I28" i="21"/>
  <c r="J27" i="21"/>
  <c r="H27" i="21"/>
  <c r="H26" i="21"/>
  <c r="K26" i="21" s="1"/>
  <c r="H25" i="21"/>
  <c r="H24" i="21"/>
  <c r="K24" i="21" s="1"/>
  <c r="H23" i="21"/>
  <c r="K23" i="21" s="1"/>
  <c r="H22" i="21"/>
  <c r="K22" i="21" s="1"/>
  <c r="K21" i="21"/>
  <c r="H20" i="21"/>
  <c r="K20" i="21" s="1"/>
  <c r="H19" i="21"/>
  <c r="K19" i="21" s="1"/>
  <c r="H18" i="21"/>
  <c r="H17" i="21"/>
  <c r="K17" i="21" s="1"/>
  <c r="H16" i="21"/>
  <c r="K16" i="21" s="1"/>
  <c r="H15" i="21"/>
  <c r="K15" i="21" s="1"/>
  <c r="H14" i="21"/>
  <c r="H13" i="21"/>
  <c r="H12" i="21"/>
  <c r="K12" i="21" s="1"/>
  <c r="H11" i="21"/>
  <c r="H10" i="21"/>
  <c r="K10" i="21" s="1"/>
  <c r="H9" i="21"/>
  <c r="K9" i="21" s="1"/>
  <c r="H8" i="21"/>
  <c r="H7" i="21"/>
  <c r="H6" i="21"/>
  <c r="K6" i="21" s="1"/>
  <c r="H5" i="21"/>
  <c r="O135" i="19"/>
  <c r="H135" i="19"/>
  <c r="O134" i="19"/>
  <c r="H134" i="19"/>
  <c r="I134" i="19" s="1"/>
  <c r="O133" i="19"/>
  <c r="H133" i="19"/>
  <c r="I133" i="19" s="1"/>
  <c r="H127" i="19"/>
  <c r="I127" i="19" s="1"/>
  <c r="H126" i="19"/>
  <c r="H125" i="19"/>
  <c r="O119" i="19"/>
  <c r="H119" i="19"/>
  <c r="I119" i="19" s="1"/>
  <c r="O118" i="19"/>
  <c r="H118" i="19"/>
  <c r="I118" i="19" s="1"/>
  <c r="O117" i="19"/>
  <c r="H117" i="19"/>
  <c r="O116" i="19"/>
  <c r="H116" i="19"/>
  <c r="I116" i="19" s="1"/>
  <c r="O115" i="19"/>
  <c r="H115" i="19"/>
  <c r="O114" i="19"/>
  <c r="H114" i="19"/>
  <c r="I114" i="19" s="1"/>
  <c r="O113" i="19"/>
  <c r="H113" i="19"/>
  <c r="O112" i="19"/>
  <c r="H112" i="19"/>
  <c r="O111" i="19"/>
  <c r="H111" i="19"/>
  <c r="I111" i="19" s="1"/>
  <c r="O110" i="19"/>
  <c r="H110" i="19"/>
  <c r="I110" i="19" s="1"/>
  <c r="O109" i="19"/>
  <c r="H109" i="19"/>
  <c r="H104" i="19"/>
  <c r="H103" i="19"/>
  <c r="H102" i="19"/>
  <c r="H101" i="19"/>
  <c r="H100" i="19"/>
  <c r="H99" i="19"/>
  <c r="H98" i="19"/>
  <c r="H97" i="19"/>
  <c r="H96" i="19"/>
  <c r="O90" i="19"/>
  <c r="M90" i="19"/>
  <c r="K90" i="19"/>
  <c r="I90" i="19"/>
  <c r="H89" i="19"/>
  <c r="K89" i="19" s="1"/>
  <c r="H88" i="19"/>
  <c r="K88" i="19" s="1"/>
  <c r="H87" i="19"/>
  <c r="K87" i="19" s="1"/>
  <c r="H86" i="19"/>
  <c r="K86" i="19" s="1"/>
  <c r="H85" i="19"/>
  <c r="K85" i="19" s="1"/>
  <c r="H84" i="19"/>
  <c r="K84" i="19" s="1"/>
  <c r="H83" i="19"/>
  <c r="K83" i="19" s="1"/>
  <c r="H82" i="19"/>
  <c r="K82" i="19" s="1"/>
  <c r="H76" i="19"/>
  <c r="K76" i="19" s="1"/>
  <c r="H75" i="19"/>
  <c r="I75" i="19" s="1"/>
  <c r="H74" i="19"/>
  <c r="I74" i="19" s="1"/>
  <c r="H73" i="19"/>
  <c r="H72" i="19"/>
  <c r="I72" i="19" s="1"/>
  <c r="H71" i="19"/>
  <c r="I71" i="19" s="1"/>
  <c r="H70" i="19"/>
  <c r="H64" i="19"/>
  <c r="I64" i="19" s="1"/>
  <c r="H63" i="19"/>
  <c r="K63" i="19" s="1"/>
  <c r="H62" i="19"/>
  <c r="I62" i="19" s="1"/>
  <c r="H60" i="19"/>
  <c r="H59" i="19"/>
  <c r="K59" i="19" s="1"/>
  <c r="N58" i="19"/>
  <c r="P58" i="19" s="1"/>
  <c r="H58" i="19"/>
  <c r="M58" i="19" s="1"/>
  <c r="H57" i="19"/>
  <c r="K57" i="19" s="1"/>
  <c r="H56" i="19"/>
  <c r="M56" i="19" s="1"/>
  <c r="N55" i="19"/>
  <c r="P55" i="19" s="1"/>
  <c r="H55" i="19"/>
  <c r="N54" i="19"/>
  <c r="P54" i="19" s="1"/>
  <c r="H54" i="19"/>
  <c r="M54" i="19" s="1"/>
  <c r="H53" i="19"/>
  <c r="H52" i="19"/>
  <c r="K52" i="19" s="1"/>
  <c r="H51" i="19"/>
  <c r="I51" i="19" s="1"/>
  <c r="H50" i="19"/>
  <c r="K50" i="19" s="1"/>
  <c r="H49" i="19"/>
  <c r="H48" i="19"/>
  <c r="O48" i="19" s="1"/>
  <c r="H47" i="19"/>
  <c r="M47" i="19" s="1"/>
  <c r="H46" i="19"/>
  <c r="M46" i="19" s="1"/>
  <c r="H45" i="19"/>
  <c r="M45" i="19" s="1"/>
  <c r="H44" i="19"/>
  <c r="I39" i="19"/>
  <c r="J38" i="19"/>
  <c r="P38" i="19" s="1"/>
  <c r="H38" i="19"/>
  <c r="M38" i="19" s="1"/>
  <c r="H37" i="19"/>
  <c r="M37" i="19" s="1"/>
  <c r="H36" i="19"/>
  <c r="H35" i="19"/>
  <c r="O35" i="19" s="1"/>
  <c r="H34" i="19"/>
  <c r="K34" i="19" s="1"/>
  <c r="H33" i="19"/>
  <c r="H32" i="19"/>
  <c r="M32" i="19" s="1"/>
  <c r="H31" i="19"/>
  <c r="K31" i="19" s="1"/>
  <c r="H30" i="19"/>
  <c r="M30" i="19" s="1"/>
  <c r="O29" i="19"/>
  <c r="M29" i="19"/>
  <c r="K29" i="19"/>
  <c r="H28" i="19"/>
  <c r="O28" i="19" s="1"/>
  <c r="H27" i="19"/>
  <c r="K27" i="19" s="1"/>
  <c r="H26" i="19"/>
  <c r="O26" i="19" s="1"/>
  <c r="H25" i="19"/>
  <c r="M25" i="19" s="1"/>
  <c r="H24" i="19"/>
  <c r="K24" i="19" s="1"/>
  <c r="H23" i="19"/>
  <c r="K23" i="19" s="1"/>
  <c r="H22" i="19"/>
  <c r="M22" i="19" s="1"/>
  <c r="H21" i="19"/>
  <c r="K21" i="19" s="1"/>
  <c r="H20" i="19"/>
  <c r="H19" i="19"/>
  <c r="K19" i="19" s="1"/>
  <c r="H18" i="19"/>
  <c r="O18" i="19" s="1"/>
  <c r="H17" i="19"/>
  <c r="M17" i="19" s="1"/>
  <c r="H16" i="19"/>
  <c r="K16" i="19" s="1"/>
  <c r="H15" i="19"/>
  <c r="M15" i="19" s="1"/>
  <c r="H14" i="19"/>
  <c r="O14" i="19" s="1"/>
  <c r="H13" i="19"/>
  <c r="M13" i="19" s="1"/>
  <c r="H12" i="19"/>
  <c r="K12" i="19" s="1"/>
  <c r="H11" i="19"/>
  <c r="H10" i="19"/>
  <c r="O10" i="19" s="1"/>
  <c r="H9" i="19"/>
  <c r="H8" i="19"/>
  <c r="O8" i="19" s="1"/>
  <c r="H7" i="19"/>
  <c r="M7" i="19" s="1"/>
  <c r="H6" i="19"/>
  <c r="K6" i="19" s="1"/>
  <c r="H5" i="19"/>
  <c r="O5" i="19" s="1"/>
  <c r="R272" i="20"/>
  <c r="R267" i="20"/>
  <c r="R266" i="20"/>
  <c r="Y266" i="20" s="1"/>
  <c r="O266" i="20"/>
  <c r="H266" i="20"/>
  <c r="I266" i="20" s="1"/>
  <c r="R265" i="20"/>
  <c r="Y265" i="20" s="1"/>
  <c r="O265" i="20"/>
  <c r="H265" i="20"/>
  <c r="I265" i="20" s="1"/>
  <c r="R264" i="20"/>
  <c r="Y264" i="20" s="1"/>
  <c r="O264" i="20"/>
  <c r="H264" i="20"/>
  <c r="R263" i="20"/>
  <c r="Y263" i="20" s="1"/>
  <c r="O263" i="20"/>
  <c r="H263" i="20"/>
  <c r="I263" i="20" s="1"/>
  <c r="R262" i="20"/>
  <c r="Y262" i="20" s="1"/>
  <c r="O262" i="20"/>
  <c r="H262" i="20"/>
  <c r="R258" i="20"/>
  <c r="R257" i="20"/>
  <c r="Y257" i="20" s="1"/>
  <c r="O257" i="20"/>
  <c r="H257" i="20"/>
  <c r="I257" i="20" s="1"/>
  <c r="R256" i="20"/>
  <c r="Y256" i="20" s="1"/>
  <c r="H256" i="20"/>
  <c r="R255" i="20"/>
  <c r="Y255" i="20" s="1"/>
  <c r="R254" i="20"/>
  <c r="Y254" i="20" s="1"/>
  <c r="H254" i="20"/>
  <c r="R250" i="20"/>
  <c r="R249" i="20"/>
  <c r="Y249" i="20" s="1"/>
  <c r="R245" i="20"/>
  <c r="R244" i="20"/>
  <c r="Y244" i="20" s="1"/>
  <c r="H244" i="20"/>
  <c r="R240" i="20"/>
  <c r="R239" i="20"/>
  <c r="Y239" i="20" s="1"/>
  <c r="H239" i="20"/>
  <c r="R238" i="20"/>
  <c r="Y238" i="20" s="1"/>
  <c r="H238" i="20"/>
  <c r="R237" i="20"/>
  <c r="Y237" i="20" s="1"/>
  <c r="Y240" i="20" s="1"/>
  <c r="H237" i="20"/>
  <c r="R232" i="20"/>
  <c r="R231" i="20"/>
  <c r="Y231" i="20" s="1"/>
  <c r="O231" i="20"/>
  <c r="H231" i="20"/>
  <c r="I231" i="20" s="1"/>
  <c r="R230" i="20"/>
  <c r="Y230" i="20" s="1"/>
  <c r="O230" i="20"/>
  <c r="H230" i="20"/>
  <c r="R229" i="20"/>
  <c r="Y229" i="20" s="1"/>
  <c r="O229" i="20"/>
  <c r="H229" i="20"/>
  <c r="R228" i="20"/>
  <c r="Y228" i="20" s="1"/>
  <c r="O228" i="20"/>
  <c r="H228" i="20"/>
  <c r="R227" i="20"/>
  <c r="Y227" i="20" s="1"/>
  <c r="O227" i="20"/>
  <c r="H227" i="20"/>
  <c r="R226" i="20"/>
  <c r="Y226" i="20" s="1"/>
  <c r="O226" i="20"/>
  <c r="H226" i="20"/>
  <c r="I226" i="20" s="1"/>
  <c r="R225" i="20"/>
  <c r="Y225" i="20" s="1"/>
  <c r="O225" i="20"/>
  <c r="H225" i="20"/>
  <c r="I225" i="20" s="1"/>
  <c r="R224" i="20"/>
  <c r="Y224" i="20" s="1"/>
  <c r="O224" i="20"/>
  <c r="H224" i="20"/>
  <c r="R223" i="20"/>
  <c r="Y223" i="20" s="1"/>
  <c r="O223" i="20"/>
  <c r="H223" i="20"/>
  <c r="I223" i="20" s="1"/>
  <c r="R222" i="20"/>
  <c r="Y222" i="20" s="1"/>
  <c r="O222" i="20"/>
  <c r="H222" i="20"/>
  <c r="R221" i="20"/>
  <c r="Y221" i="20" s="1"/>
  <c r="O221" i="20"/>
  <c r="H221" i="20"/>
  <c r="R217" i="20"/>
  <c r="R216" i="20"/>
  <c r="Y216" i="20" s="1"/>
  <c r="H216" i="20"/>
  <c r="R212" i="20"/>
  <c r="R211" i="20"/>
  <c r="Y211" i="20" s="1"/>
  <c r="H211" i="20"/>
  <c r="R210" i="20"/>
  <c r="Y210" i="20" s="1"/>
  <c r="H210" i="20"/>
  <c r="I210" i="20" s="1"/>
  <c r="R209" i="20"/>
  <c r="Y209" i="20" s="1"/>
  <c r="H209" i="20"/>
  <c r="R208" i="20"/>
  <c r="Y208" i="20" s="1"/>
  <c r="H208" i="20"/>
  <c r="I208" i="20" s="1"/>
  <c r="R207" i="20"/>
  <c r="Y207" i="20" s="1"/>
  <c r="H207" i="20"/>
  <c r="I207" i="20" s="1"/>
  <c r="R206" i="20"/>
  <c r="Y206" i="20" s="1"/>
  <c r="H206" i="20"/>
  <c r="I206" i="20" s="1"/>
  <c r="R205" i="20"/>
  <c r="Y205" i="20" s="1"/>
  <c r="H205" i="20"/>
  <c r="R204" i="20"/>
  <c r="Y204" i="20" s="1"/>
  <c r="H204" i="20"/>
  <c r="I204" i="20" s="1"/>
  <c r="R203" i="20"/>
  <c r="Y203" i="20" s="1"/>
  <c r="H203" i="20"/>
  <c r="R202" i="20"/>
  <c r="Y202" i="20" s="1"/>
  <c r="R198" i="20"/>
  <c r="R197" i="20"/>
  <c r="Y197" i="20" s="1"/>
  <c r="H197" i="20"/>
  <c r="I197" i="20" s="1"/>
  <c r="R196" i="20"/>
  <c r="Y196" i="20" s="1"/>
  <c r="H196" i="20"/>
  <c r="R195" i="20"/>
  <c r="Y195" i="20" s="1"/>
  <c r="H195" i="20"/>
  <c r="I195" i="20" s="1"/>
  <c r="R194" i="20"/>
  <c r="Y194" i="20" s="1"/>
  <c r="Q194" i="20"/>
  <c r="O194" i="20"/>
  <c r="M194" i="20"/>
  <c r="K194" i="20"/>
  <c r="I194" i="20"/>
  <c r="R193" i="20"/>
  <c r="Y193" i="20" s="1"/>
  <c r="H193" i="20"/>
  <c r="R192" i="20"/>
  <c r="Y192" i="20" s="1"/>
  <c r="Q192" i="20"/>
  <c r="O192" i="20"/>
  <c r="M192" i="20"/>
  <c r="K192" i="20"/>
  <c r="I192" i="20"/>
  <c r="R191" i="20"/>
  <c r="Y191" i="20" s="1"/>
  <c r="H191" i="20"/>
  <c r="R190" i="20"/>
  <c r="Y190" i="20" s="1"/>
  <c r="H190" i="20"/>
  <c r="R189" i="20"/>
  <c r="Y189" i="20" s="1"/>
  <c r="H189" i="20"/>
  <c r="Q189" i="20" s="1"/>
  <c r="R188" i="20"/>
  <c r="Y188" i="20" s="1"/>
  <c r="H188" i="20"/>
  <c r="Q188" i="20" s="1"/>
  <c r="R187" i="20"/>
  <c r="Y187" i="20" s="1"/>
  <c r="H187" i="20"/>
  <c r="R186" i="20"/>
  <c r="Y186" i="20" s="1"/>
  <c r="H186" i="20"/>
  <c r="O186" i="20" s="1"/>
  <c r="R185" i="20"/>
  <c r="Y185" i="20" s="1"/>
  <c r="H185" i="20"/>
  <c r="O185" i="20" s="1"/>
  <c r="R184" i="20"/>
  <c r="Y184" i="20" s="1"/>
  <c r="H184" i="20"/>
  <c r="O184" i="20" s="1"/>
  <c r="R183" i="20"/>
  <c r="Y183" i="20" s="1"/>
  <c r="H183" i="20"/>
  <c r="Q183" i="20" s="1"/>
  <c r="R182" i="20"/>
  <c r="Y182" i="20" s="1"/>
  <c r="H182" i="20"/>
  <c r="R181" i="20"/>
  <c r="Y181" i="20" s="1"/>
  <c r="H181" i="20"/>
  <c r="Q181" i="20" s="1"/>
  <c r="R180" i="20"/>
  <c r="Y180" i="20" s="1"/>
  <c r="H180" i="20"/>
  <c r="Q180" i="20" s="1"/>
  <c r="R179" i="20"/>
  <c r="Y179" i="20" s="1"/>
  <c r="H179" i="20"/>
  <c r="R178" i="20"/>
  <c r="Y178" i="20" s="1"/>
  <c r="H178" i="20"/>
  <c r="O178" i="20" s="1"/>
  <c r="R177" i="20"/>
  <c r="Y177" i="20" s="1"/>
  <c r="H177" i="20"/>
  <c r="O177" i="20" s="1"/>
  <c r="R176" i="20"/>
  <c r="Y176" i="20" s="1"/>
  <c r="H176" i="20"/>
  <c r="O176" i="20" s="1"/>
  <c r="R175" i="20"/>
  <c r="Y175" i="20" s="1"/>
  <c r="H175" i="20"/>
  <c r="Q175" i="20" s="1"/>
  <c r="R174" i="20"/>
  <c r="Y174" i="20" s="1"/>
  <c r="H174" i="20"/>
  <c r="R173" i="20"/>
  <c r="Y173" i="20" s="1"/>
  <c r="H173" i="20"/>
  <c r="Q173" i="20" s="1"/>
  <c r="R172" i="20"/>
  <c r="Y172" i="20" s="1"/>
  <c r="H172" i="20"/>
  <c r="O172" i="20" s="1"/>
  <c r="R167" i="20"/>
  <c r="R166" i="20"/>
  <c r="Y166" i="20" s="1"/>
  <c r="H166" i="20"/>
  <c r="O166" i="20" s="1"/>
  <c r="R165" i="20"/>
  <c r="Y165" i="20" s="1"/>
  <c r="H165" i="20"/>
  <c r="O165" i="20" s="1"/>
  <c r="R164" i="20"/>
  <c r="Y164" i="20" s="1"/>
  <c r="H164" i="20"/>
  <c r="O164" i="20" s="1"/>
  <c r="R163" i="20"/>
  <c r="Y163" i="20" s="1"/>
  <c r="H163" i="20"/>
  <c r="Q163" i="20" s="1"/>
  <c r="R162" i="20"/>
  <c r="Y162" i="20" s="1"/>
  <c r="H162" i="20"/>
  <c r="R161" i="20"/>
  <c r="Y161" i="20" s="1"/>
  <c r="H161" i="20"/>
  <c r="Q161" i="20" s="1"/>
  <c r="R160" i="20"/>
  <c r="Y160" i="20" s="1"/>
  <c r="H160" i="20"/>
  <c r="Q160" i="20" s="1"/>
  <c r="R159" i="20"/>
  <c r="Y159" i="20" s="1"/>
  <c r="R158" i="20"/>
  <c r="Y158" i="20" s="1"/>
  <c r="H158" i="20"/>
  <c r="O158" i="20" s="1"/>
  <c r="R157" i="20"/>
  <c r="Y157" i="20" s="1"/>
  <c r="Q157" i="20"/>
  <c r="O157" i="20"/>
  <c r="M157" i="20"/>
  <c r="K157" i="20"/>
  <c r="I157" i="20"/>
  <c r="R156" i="20"/>
  <c r="Y156" i="20" s="1"/>
  <c r="H156" i="20"/>
  <c r="I156" i="20" s="1"/>
  <c r="R155" i="20"/>
  <c r="Y155" i="20" s="1"/>
  <c r="H155" i="20"/>
  <c r="R154" i="20"/>
  <c r="Y154" i="20" s="1"/>
  <c r="H154" i="20"/>
  <c r="O154" i="20" s="1"/>
  <c r="R153" i="20"/>
  <c r="Y153" i="20" s="1"/>
  <c r="H153" i="20"/>
  <c r="Q153" i="20" s="1"/>
  <c r="R152" i="20"/>
  <c r="Y152" i="20" s="1"/>
  <c r="H152" i="20"/>
  <c r="R151" i="20"/>
  <c r="Y151" i="20" s="1"/>
  <c r="H151" i="20"/>
  <c r="R150" i="20"/>
  <c r="Y150" i="20" s="1"/>
  <c r="H150" i="20"/>
  <c r="O150" i="20" s="1"/>
  <c r="R149" i="20"/>
  <c r="Y149" i="20" s="1"/>
  <c r="H149" i="20"/>
  <c r="Q149" i="20" s="1"/>
  <c r="R148" i="20"/>
  <c r="Y148" i="20" s="1"/>
  <c r="H148" i="20"/>
  <c r="M148" i="20" s="1"/>
  <c r="R147" i="20"/>
  <c r="Y147" i="20" s="1"/>
  <c r="H147" i="20"/>
  <c r="R146" i="20"/>
  <c r="Y146" i="20" s="1"/>
  <c r="H146" i="20"/>
  <c r="K146" i="20" s="1"/>
  <c r="R145" i="20"/>
  <c r="Y145" i="20" s="1"/>
  <c r="H145" i="20"/>
  <c r="K145" i="20" s="1"/>
  <c r="R144" i="20"/>
  <c r="Y144" i="20" s="1"/>
  <c r="H144" i="20"/>
  <c r="K144" i="20" s="1"/>
  <c r="R143" i="20"/>
  <c r="Y143" i="20" s="1"/>
  <c r="H143" i="20"/>
  <c r="M143" i="20" s="1"/>
  <c r="R142" i="20"/>
  <c r="Y142" i="20" s="1"/>
  <c r="H142" i="20"/>
  <c r="I142" i="20" s="1"/>
  <c r="R141" i="20"/>
  <c r="Y141" i="20" s="1"/>
  <c r="H141" i="20"/>
  <c r="R140" i="20"/>
  <c r="Y140" i="20" s="1"/>
  <c r="H140" i="20"/>
  <c r="O140" i="20" s="1"/>
  <c r="R139" i="20"/>
  <c r="Y139" i="20" s="1"/>
  <c r="H139" i="20"/>
  <c r="M139" i="20" s="1"/>
  <c r="R138" i="20"/>
  <c r="Y138" i="20" s="1"/>
  <c r="H138" i="20"/>
  <c r="K138" i="20" s="1"/>
  <c r="R137" i="20"/>
  <c r="Y137" i="20" s="1"/>
  <c r="H137" i="20"/>
  <c r="I137" i="20" s="1"/>
  <c r="R132" i="20"/>
  <c r="R131" i="20"/>
  <c r="Y131" i="20" s="1"/>
  <c r="H131" i="20"/>
  <c r="I131" i="20" s="1"/>
  <c r="R130" i="20"/>
  <c r="Y130" i="20" s="1"/>
  <c r="H130" i="20"/>
  <c r="M130" i="20" s="1"/>
  <c r="R129" i="20"/>
  <c r="Y129" i="20" s="1"/>
  <c r="H129" i="20"/>
  <c r="I129" i="20" s="1"/>
  <c r="R128" i="20"/>
  <c r="Y128" i="20" s="1"/>
  <c r="H128" i="20"/>
  <c r="I128" i="20" s="1"/>
  <c r="R127" i="20"/>
  <c r="Y127" i="20" s="1"/>
  <c r="H127" i="20"/>
  <c r="R126" i="20"/>
  <c r="Y126" i="20" s="1"/>
  <c r="H126" i="20"/>
  <c r="O126" i="20" s="1"/>
  <c r="R125" i="20"/>
  <c r="Y125" i="20" s="1"/>
  <c r="H125" i="20"/>
  <c r="M125" i="20" s="1"/>
  <c r="R124" i="20"/>
  <c r="Y124" i="20" s="1"/>
  <c r="H124" i="20"/>
  <c r="K124" i="20" s="1"/>
  <c r="R123" i="20"/>
  <c r="Y123" i="20" s="1"/>
  <c r="R122" i="20"/>
  <c r="Y122" i="20" s="1"/>
  <c r="H122" i="20"/>
  <c r="Q122" i="20" s="1"/>
  <c r="R121" i="20"/>
  <c r="Y121" i="20" s="1"/>
  <c r="H121" i="20"/>
  <c r="I121" i="20" s="1"/>
  <c r="R120" i="20"/>
  <c r="Y120" i="20" s="1"/>
  <c r="H120" i="20"/>
  <c r="R119" i="20"/>
  <c r="Y119" i="20" s="1"/>
  <c r="H119" i="20"/>
  <c r="N118" i="20"/>
  <c r="W118" i="20" s="1"/>
  <c r="H118" i="20"/>
  <c r="Q118" i="20" s="1"/>
  <c r="R117" i="20"/>
  <c r="Y117" i="20" s="1"/>
  <c r="H117" i="20"/>
  <c r="K117" i="20" s="1"/>
  <c r="R116" i="20"/>
  <c r="Y116" i="20" s="1"/>
  <c r="H116" i="20"/>
  <c r="R115" i="20"/>
  <c r="Y115" i="20" s="1"/>
  <c r="H115" i="20"/>
  <c r="I115" i="20" s="1"/>
  <c r="R114" i="20"/>
  <c r="Y114" i="20" s="1"/>
  <c r="H114" i="20"/>
  <c r="I114" i="20" s="1"/>
  <c r="R113" i="20"/>
  <c r="Y113" i="20" s="1"/>
  <c r="H113" i="20"/>
  <c r="R112" i="20"/>
  <c r="Y112" i="20" s="1"/>
  <c r="H112" i="20"/>
  <c r="R111" i="20"/>
  <c r="Y111" i="20" s="1"/>
  <c r="H111" i="20"/>
  <c r="I111" i="20" s="1"/>
  <c r="N110" i="20"/>
  <c r="H110" i="20"/>
  <c r="N109" i="20"/>
  <c r="H109" i="20"/>
  <c r="M109" i="20" s="1"/>
  <c r="R108" i="20"/>
  <c r="Y108" i="20" s="1"/>
  <c r="H108" i="20"/>
  <c r="M108" i="20" s="1"/>
  <c r="R107" i="20"/>
  <c r="Y107" i="20" s="1"/>
  <c r="H107" i="20"/>
  <c r="M107" i="20" s="1"/>
  <c r="R106" i="20"/>
  <c r="Y106" i="20" s="1"/>
  <c r="H106" i="20"/>
  <c r="I106" i="20" s="1"/>
  <c r="R105" i="20"/>
  <c r="Y105" i="20" s="1"/>
  <c r="H105" i="20"/>
  <c r="M105" i="20" s="1"/>
  <c r="R104" i="20"/>
  <c r="Y104" i="20" s="1"/>
  <c r="H104" i="20"/>
  <c r="M104" i="20" s="1"/>
  <c r="R102" i="20"/>
  <c r="Y102" i="20" s="1"/>
  <c r="H102" i="20"/>
  <c r="M102" i="20" s="1"/>
  <c r="R101" i="20"/>
  <c r="Y101" i="20" s="1"/>
  <c r="H101" i="20"/>
  <c r="R100" i="20"/>
  <c r="Y100" i="20" s="1"/>
  <c r="H100" i="20"/>
  <c r="M100" i="20" s="1"/>
  <c r="R99" i="20"/>
  <c r="Y99" i="20" s="1"/>
  <c r="H99" i="20"/>
  <c r="M99" i="20" s="1"/>
  <c r="R98" i="20"/>
  <c r="Y98" i="20" s="1"/>
  <c r="H98" i="20"/>
  <c r="M98" i="20" s="1"/>
  <c r="R97" i="20"/>
  <c r="Y97" i="20" s="1"/>
  <c r="H97" i="20"/>
  <c r="R96" i="20"/>
  <c r="Y96" i="20" s="1"/>
  <c r="H96" i="20"/>
  <c r="M96" i="20" s="1"/>
  <c r="R95" i="20"/>
  <c r="Y95" i="20" s="1"/>
  <c r="H95" i="20"/>
  <c r="M95" i="20" s="1"/>
  <c r="R94" i="20"/>
  <c r="Y94" i="20" s="1"/>
  <c r="H94" i="20"/>
  <c r="M94" i="20" s="1"/>
  <c r="R93" i="20"/>
  <c r="Y93" i="20" s="1"/>
  <c r="H93" i="20"/>
  <c r="R92" i="20"/>
  <c r="Y92" i="20" s="1"/>
  <c r="H92" i="20"/>
  <c r="M92" i="20" s="1"/>
  <c r="R91" i="20"/>
  <c r="Y91" i="20" s="1"/>
  <c r="H91" i="20"/>
  <c r="M91" i="20" s="1"/>
  <c r="R90" i="20"/>
  <c r="Y90" i="20" s="1"/>
  <c r="H90" i="20"/>
  <c r="M90" i="20" s="1"/>
  <c r="R89" i="20"/>
  <c r="Y89" i="20" s="1"/>
  <c r="H89" i="20"/>
  <c r="I89" i="20" s="1"/>
  <c r="R88" i="20"/>
  <c r="Y88" i="20" s="1"/>
  <c r="H88" i="20"/>
  <c r="M88" i="20" s="1"/>
  <c r="R87" i="20"/>
  <c r="Y87" i="20" s="1"/>
  <c r="H87" i="20"/>
  <c r="M87" i="20" s="1"/>
  <c r="R86" i="20"/>
  <c r="Y86" i="20" s="1"/>
  <c r="H86" i="20"/>
  <c r="M86" i="20" s="1"/>
  <c r="R85" i="20"/>
  <c r="Y85" i="20" s="1"/>
  <c r="H85" i="20"/>
  <c r="I85" i="20" s="1"/>
  <c r="R84" i="20"/>
  <c r="Y84" i="20" s="1"/>
  <c r="H84" i="20"/>
  <c r="M84" i="20" s="1"/>
  <c r="R83" i="20"/>
  <c r="Y83" i="20" s="1"/>
  <c r="H83" i="20"/>
  <c r="M83" i="20" s="1"/>
  <c r="R82" i="20"/>
  <c r="Y82" i="20" s="1"/>
  <c r="H82" i="20"/>
  <c r="M82" i="20" s="1"/>
  <c r="R81" i="20"/>
  <c r="Y81" i="20" s="1"/>
  <c r="H81" i="20"/>
  <c r="R80" i="20"/>
  <c r="Y80" i="20" s="1"/>
  <c r="H80" i="20"/>
  <c r="M80" i="20" s="1"/>
  <c r="R79" i="20"/>
  <c r="Y79" i="20" s="1"/>
  <c r="H79" i="20"/>
  <c r="M79" i="20" s="1"/>
  <c r="R78" i="20"/>
  <c r="Y78" i="20" s="1"/>
  <c r="H78" i="20"/>
  <c r="M78" i="20" s="1"/>
  <c r="R77" i="20"/>
  <c r="Y77" i="20" s="1"/>
  <c r="H77" i="20"/>
  <c r="R76" i="20"/>
  <c r="Y76" i="20" s="1"/>
  <c r="H76" i="20"/>
  <c r="M76" i="20" s="1"/>
  <c r="R75" i="20"/>
  <c r="Y75" i="20" s="1"/>
  <c r="H75" i="20"/>
  <c r="M75" i="20" s="1"/>
  <c r="R74" i="20"/>
  <c r="Y74" i="20" s="1"/>
  <c r="H74" i="20"/>
  <c r="M74" i="20" s="1"/>
  <c r="R73" i="20"/>
  <c r="Y73" i="20" s="1"/>
  <c r="H73" i="20"/>
  <c r="I73" i="20" s="1"/>
  <c r="R72" i="20"/>
  <c r="Y72" i="20" s="1"/>
  <c r="H72" i="20"/>
  <c r="M72" i="20" s="1"/>
  <c r="R71" i="20"/>
  <c r="Y71" i="20" s="1"/>
  <c r="H71" i="20"/>
  <c r="M71" i="20" s="1"/>
  <c r="R70" i="20"/>
  <c r="Y70" i="20" s="1"/>
  <c r="H70" i="20"/>
  <c r="M70" i="20" s="1"/>
  <c r="R69" i="20"/>
  <c r="Y69" i="20" s="1"/>
  <c r="R68" i="20"/>
  <c r="Y68" i="20" s="1"/>
  <c r="H68" i="20"/>
  <c r="M68" i="20" s="1"/>
  <c r="R67" i="20"/>
  <c r="Y67" i="20" s="1"/>
  <c r="H67" i="20"/>
  <c r="M67" i="20" s="1"/>
  <c r="R66" i="20"/>
  <c r="Y66" i="20" s="1"/>
  <c r="R65" i="20"/>
  <c r="Y65" i="20" s="1"/>
  <c r="R64" i="20"/>
  <c r="Y64" i="20" s="1"/>
  <c r="H64" i="20"/>
  <c r="I64" i="20" s="1"/>
  <c r="R63" i="20"/>
  <c r="Y63" i="20" s="1"/>
  <c r="H63" i="20"/>
  <c r="M63" i="20" s="1"/>
  <c r="R62" i="20"/>
  <c r="Y62" i="20" s="1"/>
  <c r="H62" i="20"/>
  <c r="M62" i="20" s="1"/>
  <c r="R61" i="20"/>
  <c r="Y61" i="20" s="1"/>
  <c r="H61" i="20"/>
  <c r="M61" i="20" s="1"/>
  <c r="R60" i="20"/>
  <c r="Y60" i="20" s="1"/>
  <c r="H60" i="20"/>
  <c r="R59" i="20"/>
  <c r="Y59" i="20" s="1"/>
  <c r="H59" i="20"/>
  <c r="R58" i="20"/>
  <c r="Y58" i="20" s="1"/>
  <c r="H58" i="20"/>
  <c r="M58" i="20" s="1"/>
  <c r="R57" i="20"/>
  <c r="Y57" i="20" s="1"/>
  <c r="H57" i="20"/>
  <c r="M57" i="20" s="1"/>
  <c r="R56" i="20"/>
  <c r="Y56" i="20" s="1"/>
  <c r="H56" i="20"/>
  <c r="M56" i="20" s="1"/>
  <c r="R55" i="20"/>
  <c r="Y55" i="20" s="1"/>
  <c r="H55" i="20"/>
  <c r="I55" i="20" s="1"/>
  <c r="R54" i="20"/>
  <c r="Y54" i="20" s="1"/>
  <c r="H54" i="20"/>
  <c r="M54" i="20" s="1"/>
  <c r="R53" i="20"/>
  <c r="Y53" i="20" s="1"/>
  <c r="H53" i="20"/>
  <c r="M53" i="20" s="1"/>
  <c r="R52" i="20"/>
  <c r="Y52" i="20" s="1"/>
  <c r="H52" i="20"/>
  <c r="M52" i="20" s="1"/>
  <c r="R51" i="20"/>
  <c r="Y51" i="20" s="1"/>
  <c r="H51" i="20"/>
  <c r="K51" i="20" s="1"/>
  <c r="R50" i="20"/>
  <c r="Y50" i="20" s="1"/>
  <c r="H50" i="20"/>
  <c r="R49" i="20"/>
  <c r="Y49" i="20" s="1"/>
  <c r="H49" i="20"/>
  <c r="M49" i="20" s="1"/>
  <c r="R48" i="20"/>
  <c r="Y48" i="20" s="1"/>
  <c r="H48" i="20"/>
  <c r="M48" i="20" s="1"/>
  <c r="R47" i="20"/>
  <c r="Y47" i="20" s="1"/>
  <c r="H47" i="20"/>
  <c r="M47" i="20" s="1"/>
  <c r="R46" i="20"/>
  <c r="Y46" i="20" s="1"/>
  <c r="H46" i="20"/>
  <c r="R45" i="20"/>
  <c r="Y45" i="20" s="1"/>
  <c r="H45" i="20"/>
  <c r="M45" i="20" s="1"/>
  <c r="R44" i="20"/>
  <c r="Y44" i="20" s="1"/>
  <c r="H44" i="20"/>
  <c r="M44" i="20" s="1"/>
  <c r="I39" i="20"/>
  <c r="J38" i="20"/>
  <c r="R38" i="20" s="1"/>
  <c r="Y38" i="20" s="1"/>
  <c r="H38" i="20"/>
  <c r="O38" i="20" s="1"/>
  <c r="R37" i="20"/>
  <c r="Y37" i="20" s="1"/>
  <c r="H37" i="20"/>
  <c r="R36" i="20"/>
  <c r="Y36" i="20" s="1"/>
  <c r="H36" i="20"/>
  <c r="Q36" i="20" s="1"/>
  <c r="R35" i="20"/>
  <c r="Y35" i="20" s="1"/>
  <c r="H35" i="20"/>
  <c r="Q35" i="20" s="1"/>
  <c r="R34" i="20"/>
  <c r="Y34" i="20" s="1"/>
  <c r="H34" i="20"/>
  <c r="M34" i="20" s="1"/>
  <c r="R33" i="20"/>
  <c r="Y33" i="20" s="1"/>
  <c r="H33" i="20"/>
  <c r="R32" i="20"/>
  <c r="Y32" i="20" s="1"/>
  <c r="H32" i="20"/>
  <c r="R31" i="20"/>
  <c r="Y31" i="20" s="1"/>
  <c r="H31" i="20"/>
  <c r="R30" i="20"/>
  <c r="Y30" i="20" s="1"/>
  <c r="H30" i="20"/>
  <c r="M30" i="20" s="1"/>
  <c r="R29" i="20"/>
  <c r="Y29" i="20" s="1"/>
  <c r="Q29" i="20"/>
  <c r="O29" i="20"/>
  <c r="M29" i="20"/>
  <c r="K29" i="20"/>
  <c r="R28" i="20"/>
  <c r="Y28" i="20" s="1"/>
  <c r="H28" i="20"/>
  <c r="Q28" i="20" s="1"/>
  <c r="R27" i="20"/>
  <c r="Y27" i="20" s="1"/>
  <c r="H27" i="20"/>
  <c r="M27" i="20" s="1"/>
  <c r="R26" i="20"/>
  <c r="Y26" i="20" s="1"/>
  <c r="H26" i="20"/>
  <c r="K26" i="20" s="1"/>
  <c r="R25" i="20"/>
  <c r="Y25" i="20" s="1"/>
  <c r="H25" i="20"/>
  <c r="R24" i="20"/>
  <c r="Y24" i="20" s="1"/>
  <c r="H24" i="20"/>
  <c r="R23" i="20"/>
  <c r="Y23" i="20" s="1"/>
  <c r="H23" i="20"/>
  <c r="K23" i="20" s="1"/>
  <c r="R22" i="20"/>
  <c r="Y22" i="20" s="1"/>
  <c r="H22" i="20"/>
  <c r="K22" i="20" s="1"/>
  <c r="R21" i="20"/>
  <c r="Y21" i="20" s="1"/>
  <c r="H21" i="20"/>
  <c r="M21" i="20" s="1"/>
  <c r="R20" i="20"/>
  <c r="Y20" i="20" s="1"/>
  <c r="H20" i="20"/>
  <c r="Q20" i="20" s="1"/>
  <c r="R19" i="20"/>
  <c r="Y19" i="20" s="1"/>
  <c r="H19" i="20"/>
  <c r="M19" i="20" s="1"/>
  <c r="R18" i="20"/>
  <c r="Y18" i="20" s="1"/>
  <c r="H18" i="20"/>
  <c r="R17" i="20"/>
  <c r="Y17" i="20" s="1"/>
  <c r="H17" i="20"/>
  <c r="R16" i="20"/>
  <c r="Y16" i="20" s="1"/>
  <c r="H16" i="20"/>
  <c r="O16" i="20" s="1"/>
  <c r="R15" i="20"/>
  <c r="Y15" i="20" s="1"/>
  <c r="H15" i="20"/>
  <c r="K15" i="20" s="1"/>
  <c r="R14" i="20"/>
  <c r="Y14" i="20" s="1"/>
  <c r="H14" i="20"/>
  <c r="K14" i="20" s="1"/>
  <c r="R13" i="20"/>
  <c r="Y13" i="20" s="1"/>
  <c r="H13" i="20"/>
  <c r="O13" i="20" s="1"/>
  <c r="R12" i="20"/>
  <c r="Y12" i="20" s="1"/>
  <c r="H12" i="20"/>
  <c r="Q12" i="20" s="1"/>
  <c r="R11" i="20"/>
  <c r="Y11" i="20" s="1"/>
  <c r="H11" i="20"/>
  <c r="M11" i="20" s="1"/>
  <c r="R10" i="20"/>
  <c r="Y10" i="20" s="1"/>
  <c r="H10" i="20"/>
  <c r="R9" i="20"/>
  <c r="Y9" i="20" s="1"/>
  <c r="H9" i="20"/>
  <c r="R8" i="20"/>
  <c r="Y8" i="20" s="1"/>
  <c r="H8" i="20"/>
  <c r="R7" i="20"/>
  <c r="Y7" i="20" s="1"/>
  <c r="H7" i="20"/>
  <c r="K7" i="20" s="1"/>
  <c r="R6" i="20"/>
  <c r="Y6" i="20" s="1"/>
  <c r="H6" i="20"/>
  <c r="Q6" i="20" s="1"/>
  <c r="R5" i="20"/>
  <c r="Y5" i="20" s="1"/>
  <c r="H5" i="20"/>
  <c r="Q5" i="20" s="1"/>
  <c r="Y258" i="20" l="1"/>
  <c r="R58" i="24"/>
  <c r="Q60" i="24"/>
  <c r="Q75" i="24"/>
  <c r="R75" i="24" s="1"/>
  <c r="Q88" i="24"/>
  <c r="R88" i="24" s="1"/>
  <c r="Y167" i="20"/>
  <c r="Y198" i="20"/>
  <c r="Y267" i="20"/>
  <c r="Q70" i="24"/>
  <c r="R64" i="24"/>
  <c r="R70" i="24" s="1"/>
  <c r="R94" i="24"/>
  <c r="R74" i="24"/>
  <c r="Y232" i="20"/>
  <c r="Y39" i="20"/>
  <c r="Y212" i="20"/>
  <c r="M117" i="20"/>
  <c r="O79" i="20"/>
  <c r="K82" i="20"/>
  <c r="Q79" i="20"/>
  <c r="O82" i="20"/>
  <c r="Q23" i="20"/>
  <c r="M36" i="20"/>
  <c r="O74" i="20"/>
  <c r="O99" i="20"/>
  <c r="Q139" i="20"/>
  <c r="Q146" i="20"/>
  <c r="O145" i="20"/>
  <c r="I72" i="20"/>
  <c r="Q99" i="20"/>
  <c r="K36" i="20"/>
  <c r="I74" i="20"/>
  <c r="K72" i="20"/>
  <c r="O76" i="20"/>
  <c r="O22" i="20"/>
  <c r="M5" i="20"/>
  <c r="O28" i="20"/>
  <c r="O30" i="20"/>
  <c r="I51" i="20"/>
  <c r="K121" i="20"/>
  <c r="M131" i="20"/>
  <c r="Q30" i="20"/>
  <c r="O36" i="20"/>
  <c r="K58" i="20"/>
  <c r="O72" i="20"/>
  <c r="Q74" i="20"/>
  <c r="K102" i="20"/>
  <c r="O131" i="20"/>
  <c r="O139" i="20"/>
  <c r="O87" i="20"/>
  <c r="I98" i="20"/>
  <c r="O35" i="20"/>
  <c r="Q87" i="20"/>
  <c r="Q98" i="20"/>
  <c r="O100" i="20"/>
  <c r="K130" i="20"/>
  <c r="I130" i="20"/>
  <c r="Q130" i="20"/>
  <c r="K100" i="20"/>
  <c r="O53" i="20"/>
  <c r="I76" i="20"/>
  <c r="I79" i="20"/>
  <c r="I71" i="20"/>
  <c r="K84" i="20"/>
  <c r="I104" i="20"/>
  <c r="Q107" i="20"/>
  <c r="I109" i="20"/>
  <c r="I122" i="20"/>
  <c r="M124" i="20"/>
  <c r="Q156" i="20"/>
  <c r="K5" i="20"/>
  <c r="M35" i="20"/>
  <c r="O48" i="20"/>
  <c r="I53" i="20"/>
  <c r="Q56" i="20"/>
  <c r="I58" i="20"/>
  <c r="O71" i="20"/>
  <c r="O91" i="20"/>
  <c r="O104" i="20"/>
  <c r="K109" i="20"/>
  <c r="K122" i="20"/>
  <c r="O130" i="20"/>
  <c r="I143" i="20"/>
  <c r="O149" i="20"/>
  <c r="M122" i="20"/>
  <c r="I62" i="20"/>
  <c r="I70" i="20"/>
  <c r="O94" i="20"/>
  <c r="O163" i="20"/>
  <c r="Q21" i="20"/>
  <c r="K49" i="20"/>
  <c r="I57" i="20"/>
  <c r="O62" i="20"/>
  <c r="Q67" i="20"/>
  <c r="K70" i="20"/>
  <c r="Q78" i="20"/>
  <c r="I80" i="20"/>
  <c r="I92" i="20"/>
  <c r="Q94" i="20"/>
  <c r="O108" i="20"/>
  <c r="Q125" i="20"/>
  <c r="M138" i="20"/>
  <c r="Q144" i="20"/>
  <c r="Q71" i="20"/>
  <c r="I108" i="20"/>
  <c r="O122" i="20"/>
  <c r="M38" i="20"/>
  <c r="O49" i="20"/>
  <c r="O57" i="20"/>
  <c r="Q62" i="20"/>
  <c r="K80" i="20"/>
  <c r="K92" i="20"/>
  <c r="O21" i="20"/>
  <c r="O125" i="20"/>
  <c r="Q70" i="20"/>
  <c r="Q108" i="20"/>
  <c r="K52" i="20"/>
  <c r="Q57" i="20"/>
  <c r="K74" i="20"/>
  <c r="K76" i="20"/>
  <c r="O92" i="20"/>
  <c r="K98" i="20"/>
  <c r="I100" i="20"/>
  <c r="M118" i="20"/>
  <c r="Q7" i="20"/>
  <c r="O14" i="20"/>
  <c r="K16" i="20"/>
  <c r="O44" i="20"/>
  <c r="I61" i="20"/>
  <c r="I68" i="20"/>
  <c r="I75" i="20"/>
  <c r="I86" i="20"/>
  <c r="I96" i="20"/>
  <c r="O5" i="20"/>
  <c r="Q14" i="20"/>
  <c r="M16" i="20"/>
  <c r="M22" i="20"/>
  <c r="M28" i="20"/>
  <c r="Q44" i="20"/>
  <c r="I48" i="20"/>
  <c r="I52" i="20"/>
  <c r="Q53" i="20"/>
  <c r="O58" i="20"/>
  <c r="K61" i="20"/>
  <c r="K68" i="20"/>
  <c r="O70" i="20"/>
  <c r="O75" i="20"/>
  <c r="O80" i="20"/>
  <c r="Q82" i="20"/>
  <c r="I84" i="20"/>
  <c r="K86" i="20"/>
  <c r="I91" i="20"/>
  <c r="K96" i="20"/>
  <c r="O98" i="20"/>
  <c r="I102" i="20"/>
  <c r="Q104" i="20"/>
  <c r="Q115" i="20"/>
  <c r="I124" i="20"/>
  <c r="I138" i="20"/>
  <c r="O144" i="20"/>
  <c r="I146" i="20"/>
  <c r="M149" i="20"/>
  <c r="Q154" i="20"/>
  <c r="Q184" i="20"/>
  <c r="O267" i="20"/>
  <c r="Q16" i="20"/>
  <c r="Q75" i="20"/>
  <c r="O96" i="20"/>
  <c r="I47" i="20"/>
  <c r="Q48" i="20"/>
  <c r="O52" i="20"/>
  <c r="I63" i="20"/>
  <c r="I88" i="20"/>
  <c r="I126" i="20"/>
  <c r="M6" i="20"/>
  <c r="O15" i="20"/>
  <c r="Q38" i="20"/>
  <c r="I45" i="20"/>
  <c r="K47" i="20"/>
  <c r="Q52" i="20"/>
  <c r="I54" i="20"/>
  <c r="I56" i="20"/>
  <c r="K63" i="20"/>
  <c r="I78" i="20"/>
  <c r="I83" i="20"/>
  <c r="K88" i="20"/>
  <c r="K90" i="20"/>
  <c r="O95" i="20"/>
  <c r="Q102" i="20"/>
  <c r="I105" i="20"/>
  <c r="I107" i="20"/>
  <c r="M114" i="20"/>
  <c r="Q124" i="20"/>
  <c r="K126" i="20"/>
  <c r="K137" i="20"/>
  <c r="Q138" i="20"/>
  <c r="K140" i="20"/>
  <c r="M153" i="20"/>
  <c r="O175" i="20"/>
  <c r="O68" i="20"/>
  <c r="O86" i="20"/>
  <c r="Q61" i="20"/>
  <c r="O84" i="20"/>
  <c r="I90" i="20"/>
  <c r="I95" i="20"/>
  <c r="I140" i="20"/>
  <c r="Q15" i="20"/>
  <c r="K45" i="20"/>
  <c r="O47" i="20"/>
  <c r="K54" i="20"/>
  <c r="K56" i="20"/>
  <c r="O63" i="20"/>
  <c r="K78" i="20"/>
  <c r="O83" i="20"/>
  <c r="O88" i="20"/>
  <c r="O90" i="20"/>
  <c r="I94" i="20"/>
  <c r="Q95" i="20"/>
  <c r="I99" i="20"/>
  <c r="K105" i="20"/>
  <c r="K107" i="20"/>
  <c r="Q111" i="20"/>
  <c r="O114" i="20"/>
  <c r="M126" i="20"/>
  <c r="M137" i="20"/>
  <c r="M140" i="20"/>
  <c r="O153" i="20"/>
  <c r="O61" i="20"/>
  <c r="Q22" i="20"/>
  <c r="Q86" i="20"/>
  <c r="Q91" i="20"/>
  <c r="O102" i="20"/>
  <c r="O124" i="20"/>
  <c r="O138" i="20"/>
  <c r="O45" i="20"/>
  <c r="Q47" i="20"/>
  <c r="I49" i="20"/>
  <c r="O54" i="20"/>
  <c r="O56" i="20"/>
  <c r="O78" i="20"/>
  <c r="I82" i="20"/>
  <c r="Q83" i="20"/>
  <c r="I87" i="20"/>
  <c r="Q90" i="20"/>
  <c r="K94" i="20"/>
  <c r="O105" i="20"/>
  <c r="O107" i="20"/>
  <c r="Q114" i="20"/>
  <c r="Q126" i="20"/>
  <c r="K131" i="20"/>
  <c r="O137" i="20"/>
  <c r="Q140" i="20"/>
  <c r="Q145" i="20"/>
  <c r="M156" i="20"/>
  <c r="K37" i="20"/>
  <c r="O37" i="20"/>
  <c r="M50" i="20"/>
  <c r="O50" i="20"/>
  <c r="Q50" i="20"/>
  <c r="K50" i="20"/>
  <c r="M101" i="20"/>
  <c r="O101" i="20"/>
  <c r="Q101" i="20"/>
  <c r="K101" i="20"/>
  <c r="M37" i="20"/>
  <c r="I50" i="20"/>
  <c r="M81" i="20"/>
  <c r="O81" i="20"/>
  <c r="Q81" i="20"/>
  <c r="K81" i="20"/>
  <c r="I101" i="20"/>
  <c r="I116" i="20"/>
  <c r="Q116" i="20"/>
  <c r="M116" i="20"/>
  <c r="O116" i="20"/>
  <c r="K116" i="20"/>
  <c r="O24" i="20"/>
  <c r="Q24" i="20"/>
  <c r="M24" i="20"/>
  <c r="K24" i="20"/>
  <c r="Q37" i="20"/>
  <c r="I81" i="20"/>
  <c r="M93" i="20"/>
  <c r="O93" i="20"/>
  <c r="Q93" i="20"/>
  <c r="K93" i="20"/>
  <c r="Q119" i="20"/>
  <c r="K119" i="20"/>
  <c r="O119" i="20"/>
  <c r="M119" i="20"/>
  <c r="I119" i="20"/>
  <c r="Q141" i="20"/>
  <c r="K141" i="20"/>
  <c r="O141" i="20"/>
  <c r="M141" i="20"/>
  <c r="I141" i="20"/>
  <c r="Q172" i="20"/>
  <c r="Q178" i="20"/>
  <c r="K13" i="20"/>
  <c r="M51" i="20"/>
  <c r="Q51" i="20"/>
  <c r="O51" i="20"/>
  <c r="M59" i="20"/>
  <c r="Q59" i="20"/>
  <c r="K59" i="20"/>
  <c r="O59" i="20"/>
  <c r="I59" i="20"/>
  <c r="M73" i="20"/>
  <c r="O73" i="20"/>
  <c r="Q73" i="20"/>
  <c r="K73" i="20"/>
  <c r="I93" i="20"/>
  <c r="M106" i="20"/>
  <c r="O106" i="20"/>
  <c r="Q106" i="20"/>
  <c r="K106" i="20"/>
  <c r="I112" i="20"/>
  <c r="Q112" i="20"/>
  <c r="M112" i="20"/>
  <c r="O112" i="20"/>
  <c r="K112" i="20"/>
  <c r="I117" i="20"/>
  <c r="Q117" i="20"/>
  <c r="O117" i="20"/>
  <c r="Q158" i="20"/>
  <c r="O232" i="20"/>
  <c r="M128" i="20"/>
  <c r="Q128" i="20"/>
  <c r="O128" i="20"/>
  <c r="K128" i="20"/>
  <c r="M46" i="20"/>
  <c r="Q46" i="20"/>
  <c r="K46" i="20"/>
  <c r="M120" i="20"/>
  <c r="Q120" i="20"/>
  <c r="O120" i="20"/>
  <c r="K120" i="20"/>
  <c r="I46" i="20"/>
  <c r="M97" i="20"/>
  <c r="O97" i="20"/>
  <c r="Q97" i="20"/>
  <c r="K97" i="20"/>
  <c r="I110" i="20"/>
  <c r="Q110" i="20"/>
  <c r="I113" i="20"/>
  <c r="Q113" i="20"/>
  <c r="O113" i="20"/>
  <c r="I120" i="20"/>
  <c r="S192" i="20"/>
  <c r="S194" i="20"/>
  <c r="K19" i="20"/>
  <c r="M64" i="20"/>
  <c r="O64" i="20"/>
  <c r="Q64" i="20"/>
  <c r="K64" i="20"/>
  <c r="O8" i="20"/>
  <c r="Q8" i="20"/>
  <c r="K8" i="20"/>
  <c r="M110" i="20"/>
  <c r="M13" i="20"/>
  <c r="M85" i="20"/>
  <c r="O85" i="20"/>
  <c r="Q85" i="20"/>
  <c r="K85" i="20"/>
  <c r="O129" i="20"/>
  <c r="Q129" i="20"/>
  <c r="M129" i="20"/>
  <c r="M142" i="20"/>
  <c r="Q142" i="20"/>
  <c r="O142" i="20"/>
  <c r="K142" i="20"/>
  <c r="Q13" i="20"/>
  <c r="O46" i="20"/>
  <c r="M60" i="20"/>
  <c r="O60" i="20"/>
  <c r="Q60" i="20"/>
  <c r="K60" i="20"/>
  <c r="M77" i="20"/>
  <c r="O77" i="20"/>
  <c r="Q77" i="20"/>
  <c r="K77" i="20"/>
  <c r="I97" i="20"/>
  <c r="K113" i="20"/>
  <c r="K129" i="20"/>
  <c r="K191" i="20"/>
  <c r="Q191" i="20"/>
  <c r="K6" i="20"/>
  <c r="O6" i="20"/>
  <c r="M8" i="20"/>
  <c r="O23" i="20"/>
  <c r="O31" i="20"/>
  <c r="Q31" i="20"/>
  <c r="M31" i="20"/>
  <c r="K31" i="20"/>
  <c r="M55" i="20"/>
  <c r="O55" i="20"/>
  <c r="Q55" i="20"/>
  <c r="K55" i="20"/>
  <c r="I60" i="20"/>
  <c r="I77" i="20"/>
  <c r="M89" i="20"/>
  <c r="O89" i="20"/>
  <c r="Q89" i="20"/>
  <c r="K89" i="20"/>
  <c r="R110" i="20"/>
  <c r="Y110" i="20" s="1"/>
  <c r="W110" i="20"/>
  <c r="M113" i="20"/>
  <c r="O121" i="20"/>
  <c r="Q121" i="20"/>
  <c r="M121" i="20"/>
  <c r="Q127" i="20"/>
  <c r="O127" i="20"/>
  <c r="K127" i="20"/>
  <c r="M127" i="20"/>
  <c r="I127" i="20"/>
  <c r="K143" i="20"/>
  <c r="Q143" i="20"/>
  <c r="O143" i="20"/>
  <c r="O191" i="20"/>
  <c r="Q131" i="20"/>
  <c r="Q137" i="20"/>
  <c r="I67" i="20"/>
  <c r="K111" i="20"/>
  <c r="K115" i="20"/>
  <c r="I125" i="20"/>
  <c r="I139" i="20"/>
  <c r="Q150" i="20"/>
  <c r="Q166" i="20"/>
  <c r="O183" i="20"/>
  <c r="K21" i="20"/>
  <c r="K67" i="20"/>
  <c r="R109" i="20"/>
  <c r="Y109" i="20" s="1"/>
  <c r="W109" i="20"/>
  <c r="M111" i="20"/>
  <c r="M115" i="20"/>
  <c r="K125" i="20"/>
  <c r="K139" i="20"/>
  <c r="S157" i="20"/>
  <c r="I44" i="20"/>
  <c r="O7" i="20"/>
  <c r="M14" i="20"/>
  <c r="K38" i="20"/>
  <c r="U38" i="20"/>
  <c r="U39" i="20" s="1"/>
  <c r="K44" i="20"/>
  <c r="Q45" i="20"/>
  <c r="K48" i="20"/>
  <c r="Q49" i="20"/>
  <c r="K53" i="20"/>
  <c r="Q54" i="20"/>
  <c r="K57" i="20"/>
  <c r="Q58" i="20"/>
  <c r="K62" i="20"/>
  <c r="Q63" i="20"/>
  <c r="O67" i="20"/>
  <c r="Q68" i="20"/>
  <c r="K71" i="20"/>
  <c r="Q72" i="20"/>
  <c r="K75" i="20"/>
  <c r="Q76" i="20"/>
  <c r="K79" i="20"/>
  <c r="Q80" i="20"/>
  <c r="K83" i="20"/>
  <c r="Q84" i="20"/>
  <c r="K87" i="20"/>
  <c r="Q88" i="20"/>
  <c r="K91" i="20"/>
  <c r="Q92" i="20"/>
  <c r="K95" i="20"/>
  <c r="Q96" i="20"/>
  <c r="K99" i="20"/>
  <c r="Q100" i="20"/>
  <c r="K104" i="20"/>
  <c r="Q105" i="20"/>
  <c r="K108" i="20"/>
  <c r="Q109" i="20"/>
  <c r="O111" i="20"/>
  <c r="K114" i="20"/>
  <c r="O115" i="20"/>
  <c r="K118" i="20"/>
  <c r="M144" i="20"/>
  <c r="O156" i="20"/>
  <c r="Q186" i="20"/>
  <c r="Q113" i="19"/>
  <c r="Q33" i="19"/>
  <c r="Q114" i="19"/>
  <c r="Q101" i="19"/>
  <c r="Q35" i="19"/>
  <c r="Q56" i="19"/>
  <c r="Q104" i="19"/>
  <c r="Q34" i="19"/>
  <c r="Q11" i="19"/>
  <c r="Q127" i="19"/>
  <c r="Q99" i="19"/>
  <c r="Q117" i="19"/>
  <c r="M82" i="19"/>
  <c r="Q72" i="19"/>
  <c r="Q53" i="19"/>
  <c r="Q98" i="19"/>
  <c r="Q45" i="19"/>
  <c r="Q75" i="19"/>
  <c r="Q70" i="19"/>
  <c r="Q87" i="19"/>
  <c r="Q74" i="19"/>
  <c r="O24" i="19"/>
  <c r="Q38" i="19"/>
  <c r="Q55" i="19"/>
  <c r="Q25" i="19"/>
  <c r="Q10" i="19"/>
  <c r="Q59" i="19"/>
  <c r="Q71" i="19"/>
  <c r="Q102" i="19"/>
  <c r="Q9" i="19"/>
  <c r="Q63" i="19"/>
  <c r="Q8" i="19"/>
  <c r="Q112" i="19"/>
  <c r="Q22" i="19"/>
  <c r="Q49" i="19"/>
  <c r="Q82" i="19"/>
  <c r="Q97" i="19"/>
  <c r="Q15" i="19"/>
  <c r="O45" i="19"/>
  <c r="Q103" i="19"/>
  <c r="Q21" i="19"/>
  <c r="Q20" i="19"/>
  <c r="Q58" i="19"/>
  <c r="Q96" i="19"/>
  <c r="Q19" i="19"/>
  <c r="Q13" i="19"/>
  <c r="Q7" i="19"/>
  <c r="M33" i="19"/>
  <c r="Q73" i="19"/>
  <c r="Q64" i="19"/>
  <c r="Q86" i="19"/>
  <c r="Q118" i="19"/>
  <c r="Q135" i="19"/>
  <c r="I57" i="19"/>
  <c r="Q88" i="19"/>
  <c r="Q54" i="19"/>
  <c r="O13" i="19"/>
  <c r="O33" i="19"/>
  <c r="Q60" i="19"/>
  <c r="Q37" i="19"/>
  <c r="Q31" i="19"/>
  <c r="Q18" i="19"/>
  <c r="Q52" i="19"/>
  <c r="M57" i="19"/>
  <c r="K10" i="19"/>
  <c r="M50" i="19"/>
  <c r="M76" i="19"/>
  <c r="O86" i="19"/>
  <c r="Q30" i="19"/>
  <c r="Q24" i="19"/>
  <c r="Q57" i="19"/>
  <c r="Q51" i="19"/>
  <c r="Q116" i="19"/>
  <c r="Q119" i="19"/>
  <c r="M10" i="19"/>
  <c r="Q100" i="19"/>
  <c r="Q50" i="19"/>
  <c r="Q110" i="19"/>
  <c r="Q133" i="19"/>
  <c r="Q5" i="19"/>
  <c r="Q26" i="19"/>
  <c r="Q17" i="19"/>
  <c r="Q46" i="19"/>
  <c r="K33" i="19"/>
  <c r="K38" i="19"/>
  <c r="O50" i="19"/>
  <c r="O76" i="19"/>
  <c r="O82" i="19"/>
  <c r="M86" i="19"/>
  <c r="Q12" i="19"/>
  <c r="Q85" i="19"/>
  <c r="Q125" i="19"/>
  <c r="Q16" i="19"/>
  <c r="M84" i="19"/>
  <c r="M89" i="19"/>
  <c r="Q84" i="19"/>
  <c r="O6" i="19"/>
  <c r="K18" i="19"/>
  <c r="O27" i="19"/>
  <c r="O30" i="19"/>
  <c r="M52" i="19"/>
  <c r="I56" i="19"/>
  <c r="K64" i="19"/>
  <c r="O84" i="19"/>
  <c r="M88" i="19"/>
  <c r="O89" i="19"/>
  <c r="Q28" i="19"/>
  <c r="Q23" i="19"/>
  <c r="Q14" i="19"/>
  <c r="Q44" i="19"/>
  <c r="K30" i="19"/>
  <c r="M6" i="19"/>
  <c r="Q48" i="19"/>
  <c r="M18" i="19"/>
  <c r="O52" i="19"/>
  <c r="K56" i="19"/>
  <c r="O88" i="19"/>
  <c r="Q32" i="19"/>
  <c r="Q27" i="19"/>
  <c r="Q47" i="19"/>
  <c r="Q76" i="19"/>
  <c r="Q89" i="19"/>
  <c r="Q83" i="19"/>
  <c r="Q111" i="19"/>
  <c r="Q6" i="19"/>
  <c r="Q62" i="19"/>
  <c r="Q134" i="19"/>
  <c r="M27" i="19"/>
  <c r="I52" i="19"/>
  <c r="Q126" i="19"/>
  <c r="M24" i="19"/>
  <c r="Q36" i="19"/>
  <c r="Q109" i="19"/>
  <c r="Q115" i="19"/>
  <c r="K47" i="19"/>
  <c r="M87" i="19"/>
  <c r="O15" i="19"/>
  <c r="O47" i="19"/>
  <c r="K48" i="19"/>
  <c r="M83" i="19"/>
  <c r="O87" i="19"/>
  <c r="K5" i="19"/>
  <c r="O12" i="19"/>
  <c r="O23" i="19"/>
  <c r="K26" i="19"/>
  <c r="M48" i="19"/>
  <c r="I58" i="19"/>
  <c r="O83" i="19"/>
  <c r="M85" i="19"/>
  <c r="M34" i="19"/>
  <c r="M19" i="19"/>
  <c r="O7" i="19"/>
  <c r="M12" i="19"/>
  <c r="O19" i="19"/>
  <c r="M23" i="19"/>
  <c r="M75" i="19"/>
  <c r="M5" i="19"/>
  <c r="M26" i="19"/>
  <c r="K58" i="19"/>
  <c r="O85" i="19"/>
  <c r="O136" i="19"/>
  <c r="I54" i="19"/>
  <c r="O120" i="19"/>
  <c r="K15" i="19"/>
  <c r="K25" i="19"/>
  <c r="O25" i="19"/>
  <c r="O34" i="19"/>
  <c r="K75" i="19"/>
  <c r="O58" i="19"/>
  <c r="M16" i="24"/>
  <c r="I93" i="24"/>
  <c r="I109" i="24"/>
  <c r="M34" i="24"/>
  <c r="I53" i="24"/>
  <c r="I54" i="24"/>
  <c r="I78" i="24"/>
  <c r="M31" i="24"/>
  <c r="M25" i="24"/>
  <c r="M54" i="24"/>
  <c r="K32" i="24"/>
  <c r="M18" i="24"/>
  <c r="K54" i="24"/>
  <c r="M26" i="24"/>
  <c r="M47" i="24"/>
  <c r="I96" i="24"/>
  <c r="K48" i="24"/>
  <c r="M53" i="24"/>
  <c r="K25" i="24"/>
  <c r="M48" i="24"/>
  <c r="I92" i="24"/>
  <c r="I104" i="24"/>
  <c r="I105" i="24" s="1"/>
  <c r="K10" i="24"/>
  <c r="M12" i="24"/>
  <c r="K20" i="24"/>
  <c r="M32" i="24"/>
  <c r="K46" i="24"/>
  <c r="M20" i="24"/>
  <c r="K4" i="24"/>
  <c r="M4" i="24"/>
  <c r="K9" i="24"/>
  <c r="M17" i="24"/>
  <c r="K33" i="24"/>
  <c r="K55" i="24"/>
  <c r="M9" i="24"/>
  <c r="K24" i="24"/>
  <c r="M33" i="24"/>
  <c r="K47" i="24"/>
  <c r="M55" i="24"/>
  <c r="K8" i="24"/>
  <c r="K36" i="24"/>
  <c r="M58" i="24"/>
  <c r="M46" i="24"/>
  <c r="K53" i="24"/>
  <c r="M35" i="24"/>
  <c r="K23" i="24"/>
  <c r="K30" i="24"/>
  <c r="K6" i="24"/>
  <c r="M7" i="24"/>
  <c r="K14" i="24"/>
  <c r="M15" i="24"/>
  <c r="K22" i="24"/>
  <c r="M23" i="24"/>
  <c r="K29" i="24"/>
  <c r="M30" i="24"/>
  <c r="K43" i="24"/>
  <c r="K44" i="24"/>
  <c r="M45" i="24"/>
  <c r="K45" i="24"/>
  <c r="I45" i="24"/>
  <c r="M76" i="24"/>
  <c r="K76" i="24"/>
  <c r="I76" i="24"/>
  <c r="M82" i="24"/>
  <c r="K82" i="24"/>
  <c r="K5" i="24"/>
  <c r="M6" i="24"/>
  <c r="K13" i="24"/>
  <c r="M14" i="24"/>
  <c r="K21" i="24"/>
  <c r="M22" i="24"/>
  <c r="K28" i="24"/>
  <c r="M29" i="24"/>
  <c r="I42" i="24"/>
  <c r="M43" i="24"/>
  <c r="M44" i="24"/>
  <c r="I82" i="24"/>
  <c r="M95" i="24"/>
  <c r="K95" i="24"/>
  <c r="I95" i="24"/>
  <c r="M5" i="24"/>
  <c r="M13" i="24"/>
  <c r="K3" i="24"/>
  <c r="K11" i="24"/>
  <c r="K19" i="24"/>
  <c r="M36" i="24"/>
  <c r="I41" i="24"/>
  <c r="M42" i="24"/>
  <c r="M80" i="24"/>
  <c r="K80" i="24"/>
  <c r="I80" i="24"/>
  <c r="M90" i="24"/>
  <c r="K90" i="24"/>
  <c r="I90" i="24"/>
  <c r="K15" i="24"/>
  <c r="K35" i="24"/>
  <c r="M28" i="24"/>
  <c r="M3" i="24"/>
  <c r="M11" i="24"/>
  <c r="M19" i="24"/>
  <c r="K41" i="24"/>
  <c r="I56" i="24"/>
  <c r="K56" i="24"/>
  <c r="M56" i="24"/>
  <c r="K64" i="24"/>
  <c r="I64" i="24"/>
  <c r="M64" i="24"/>
  <c r="I43" i="24"/>
  <c r="I44" i="24"/>
  <c r="K34" i="24"/>
  <c r="K42" i="24"/>
  <c r="M109" i="24"/>
  <c r="K109" i="24"/>
  <c r="M41" i="24"/>
  <c r="K66" i="24"/>
  <c r="I66" i="24"/>
  <c r="M66" i="24"/>
  <c r="M78" i="24"/>
  <c r="K78" i="24"/>
  <c r="M98" i="24"/>
  <c r="K98" i="24"/>
  <c r="M111" i="24"/>
  <c r="K111" i="24"/>
  <c r="M89" i="24"/>
  <c r="K89" i="24"/>
  <c r="I89" i="24"/>
  <c r="I111" i="24"/>
  <c r="M93" i="24"/>
  <c r="K93" i="24"/>
  <c r="M97" i="24"/>
  <c r="K97" i="24"/>
  <c r="I97" i="24"/>
  <c r="M92" i="24"/>
  <c r="K92" i="24"/>
  <c r="M104" i="24"/>
  <c r="K104" i="24"/>
  <c r="I57" i="24"/>
  <c r="K57" i="24"/>
  <c r="K67" i="24"/>
  <c r="I67" i="24"/>
  <c r="M67" i="24"/>
  <c r="M75" i="24"/>
  <c r="K75" i="24"/>
  <c r="M77" i="24"/>
  <c r="K77" i="24"/>
  <c r="M79" i="24"/>
  <c r="K79" i="24"/>
  <c r="M81" i="24"/>
  <c r="K81" i="24"/>
  <c r="M83" i="24"/>
  <c r="K83" i="24"/>
  <c r="M94" i="24"/>
  <c r="K94" i="24"/>
  <c r="M57" i="24"/>
  <c r="K65" i="24"/>
  <c r="I65" i="24"/>
  <c r="M65" i="24"/>
  <c r="I75" i="24"/>
  <c r="I77" i="24"/>
  <c r="I79" i="24"/>
  <c r="I81" i="24"/>
  <c r="I83" i="24"/>
  <c r="M91" i="24"/>
  <c r="K91" i="24"/>
  <c r="I94" i="24"/>
  <c r="M110" i="24"/>
  <c r="K110" i="24"/>
  <c r="I58" i="24"/>
  <c r="K58" i="24"/>
  <c r="K59" i="24"/>
  <c r="I59" i="24"/>
  <c r="M59" i="24"/>
  <c r="K68" i="24"/>
  <c r="I68" i="24"/>
  <c r="M68" i="24"/>
  <c r="M88" i="24"/>
  <c r="K88" i="24"/>
  <c r="M96" i="24"/>
  <c r="K96" i="24"/>
  <c r="M103" i="24"/>
  <c r="K103" i="24"/>
  <c r="K41" i="23"/>
  <c r="K29" i="23"/>
  <c r="I36" i="23"/>
  <c r="I57" i="23"/>
  <c r="K13" i="23"/>
  <c r="K20" i="23"/>
  <c r="K15" i="23"/>
  <c r="K40" i="23"/>
  <c r="K49" i="23"/>
  <c r="K48" i="23"/>
  <c r="I51" i="23"/>
  <c r="K24" i="23"/>
  <c r="I26" i="23"/>
  <c r="I35" i="23"/>
  <c r="I38" i="23"/>
  <c r="K17" i="23"/>
  <c r="K11" i="23"/>
  <c r="K47" i="23"/>
  <c r="I28" i="23"/>
  <c r="K28" i="23"/>
  <c r="I14" i="23"/>
  <c r="I21" i="23"/>
  <c r="I11" i="23"/>
  <c r="K12" i="23"/>
  <c r="I16" i="23"/>
  <c r="I19" i="23"/>
  <c r="K37" i="23"/>
  <c r="I50" i="23"/>
  <c r="K25" i="23"/>
  <c r="K6" i="23"/>
  <c r="K21" i="23"/>
  <c r="I23" i="23"/>
  <c r="K23" i="23"/>
  <c r="I18" i="23"/>
  <c r="K18" i="23"/>
  <c r="K16" i="23"/>
  <c r="K58" i="23"/>
  <c r="K22" i="23"/>
  <c r="K39" i="23"/>
  <c r="M61" i="22"/>
  <c r="M17" i="22"/>
  <c r="M69" i="22"/>
  <c r="M11" i="22"/>
  <c r="M18" i="22"/>
  <c r="I44" i="22"/>
  <c r="K82" i="22"/>
  <c r="M82" i="22"/>
  <c r="M78" i="22"/>
  <c r="I69" i="22"/>
  <c r="M63" i="22"/>
  <c r="M77" i="22"/>
  <c r="M21" i="22"/>
  <c r="K33" i="22"/>
  <c r="I61" i="22"/>
  <c r="K22" i="22"/>
  <c r="M34" i="22"/>
  <c r="I66" i="22"/>
  <c r="I45" i="22"/>
  <c r="I55" i="22"/>
  <c r="K19" i="22"/>
  <c r="K31" i="22"/>
  <c r="K45" i="22"/>
  <c r="K55" i="22"/>
  <c r="I64" i="22"/>
  <c r="I67" i="22"/>
  <c r="K76" i="22"/>
  <c r="I79" i="22"/>
  <c r="M15" i="22"/>
  <c r="M31" i="22"/>
  <c r="K67" i="22"/>
  <c r="M76" i="22"/>
  <c r="I83" i="22"/>
  <c r="K9" i="22"/>
  <c r="K42" i="22"/>
  <c r="I54" i="22"/>
  <c r="I62" i="22"/>
  <c r="I65" i="22"/>
  <c r="K80" i="22"/>
  <c r="M83" i="22"/>
  <c r="K8" i="22"/>
  <c r="K54" i="22"/>
  <c r="K65" i="22"/>
  <c r="M80" i="22"/>
  <c r="K14" i="22"/>
  <c r="K16" i="22"/>
  <c r="I63" i="22"/>
  <c r="I68" i="22"/>
  <c r="K84" i="22"/>
  <c r="M6" i="22"/>
  <c r="K12" i="22"/>
  <c r="M33" i="22"/>
  <c r="I34" i="22"/>
  <c r="K44" i="22"/>
  <c r="K78" i="22"/>
  <c r="M84" i="22"/>
  <c r="M7" i="22"/>
  <c r="K10" i="22"/>
  <c r="I40" i="22"/>
  <c r="I43" i="22"/>
  <c r="M53" i="22"/>
  <c r="I53" i="22"/>
  <c r="I81" i="22"/>
  <c r="K5" i="22"/>
  <c r="K20" i="22"/>
  <c r="I29" i="22"/>
  <c r="I32" i="22"/>
  <c r="K40" i="22"/>
  <c r="K43" i="22"/>
  <c r="K53" i="22"/>
  <c r="M81" i="22"/>
  <c r="K28" i="22"/>
  <c r="I28" i="22"/>
  <c r="M28" i="22"/>
  <c r="K13" i="22"/>
  <c r="K30" i="22"/>
  <c r="I30" i="22"/>
  <c r="M79" i="22"/>
  <c r="M29" i="22"/>
  <c r="M32" i="22"/>
  <c r="M52" i="22"/>
  <c r="I52" i="22"/>
  <c r="I42" i="22"/>
  <c r="M51" i="22"/>
  <c r="I51" i="22"/>
  <c r="I77" i="22"/>
  <c r="M41" i="22"/>
  <c r="K41" i="22"/>
  <c r="I41" i="22"/>
  <c r="K62" i="22"/>
  <c r="K64" i="22"/>
  <c r="K66" i="22"/>
  <c r="K68" i="22"/>
  <c r="K36" i="21"/>
  <c r="K44" i="21"/>
  <c r="K35" i="21"/>
  <c r="I81" i="21"/>
  <c r="I43" i="21"/>
  <c r="K34" i="21"/>
  <c r="K33" i="21"/>
  <c r="K7" i="21"/>
  <c r="K63" i="21"/>
  <c r="I63" i="21"/>
  <c r="K18" i="21"/>
  <c r="K11" i="21"/>
  <c r="K14" i="21"/>
  <c r="K27" i="21"/>
  <c r="K58" i="21"/>
  <c r="I58" i="21"/>
  <c r="K65" i="21"/>
  <c r="I65" i="21"/>
  <c r="K8" i="21"/>
  <c r="K66" i="21"/>
  <c r="I66" i="21"/>
  <c r="K25" i="21"/>
  <c r="K5" i="21"/>
  <c r="K13" i="21"/>
  <c r="K59" i="21"/>
  <c r="K62" i="21"/>
  <c r="I62" i="21"/>
  <c r="K88" i="21"/>
  <c r="I88" i="21"/>
  <c r="K60" i="21"/>
  <c r="I60" i="21"/>
  <c r="K72" i="21"/>
  <c r="I72" i="21"/>
  <c r="K90" i="21"/>
  <c r="K79" i="21"/>
  <c r="K61" i="21"/>
  <c r="K64" i="21"/>
  <c r="I64" i="21"/>
  <c r="I90" i="21"/>
  <c r="K73" i="21"/>
  <c r="K89" i="21"/>
  <c r="I45" i="21"/>
  <c r="K46" i="21"/>
  <c r="I46" i="21"/>
  <c r="I73" i="21"/>
  <c r="K80" i="21"/>
  <c r="I89" i="21"/>
  <c r="I44" i="19"/>
  <c r="K49" i="19"/>
  <c r="M49" i="19"/>
  <c r="O101" i="19"/>
  <c r="M101" i="19"/>
  <c r="K101" i="19"/>
  <c r="I101" i="19"/>
  <c r="M113" i="19"/>
  <c r="K113" i="19"/>
  <c r="I113" i="19"/>
  <c r="M115" i="19"/>
  <c r="K115" i="19"/>
  <c r="I115" i="19"/>
  <c r="K11" i="19"/>
  <c r="M16" i="19"/>
  <c r="M31" i="19"/>
  <c r="K37" i="19"/>
  <c r="K44" i="19"/>
  <c r="I49" i="19"/>
  <c r="O59" i="19"/>
  <c r="M59" i="19"/>
  <c r="O70" i="19"/>
  <c r="M70" i="19"/>
  <c r="K70" i="19"/>
  <c r="O73" i="19"/>
  <c r="M73" i="19"/>
  <c r="K73" i="19"/>
  <c r="M11" i="19"/>
  <c r="O16" i="19"/>
  <c r="O21" i="19"/>
  <c r="M21" i="19"/>
  <c r="O31" i="19"/>
  <c r="M44" i="19"/>
  <c r="I47" i="19"/>
  <c r="I48" i="19"/>
  <c r="O49" i="19"/>
  <c r="K51" i="19"/>
  <c r="O51" i="19"/>
  <c r="M51" i="19"/>
  <c r="I59" i="19"/>
  <c r="I70" i="19"/>
  <c r="I73" i="19"/>
  <c r="O126" i="19"/>
  <c r="M126" i="19"/>
  <c r="K126" i="19"/>
  <c r="I126" i="19"/>
  <c r="O11" i="19"/>
  <c r="M135" i="19"/>
  <c r="K135" i="19"/>
  <c r="I135" i="19"/>
  <c r="K14" i="19"/>
  <c r="K8" i="19"/>
  <c r="M9" i="19"/>
  <c r="M14" i="19"/>
  <c r="M20" i="19"/>
  <c r="K20" i="19"/>
  <c r="K36" i="19"/>
  <c r="K46" i="19"/>
  <c r="O53" i="19"/>
  <c r="I55" i="19"/>
  <c r="M55" i="19"/>
  <c r="O60" i="19"/>
  <c r="M60" i="19"/>
  <c r="K60" i="19"/>
  <c r="M112" i="19"/>
  <c r="K112" i="19"/>
  <c r="I112" i="19"/>
  <c r="O54" i="19"/>
  <c r="M116" i="19"/>
  <c r="K116" i="19"/>
  <c r="K7" i="19"/>
  <c r="M8" i="19"/>
  <c r="O9" i="19"/>
  <c r="K13" i="19"/>
  <c r="K17" i="19"/>
  <c r="O20" i="19"/>
  <c r="O22" i="19"/>
  <c r="K32" i="19"/>
  <c r="I45" i="19"/>
  <c r="K55" i="19"/>
  <c r="I60" i="19"/>
  <c r="O62" i="19"/>
  <c r="M62" i="19"/>
  <c r="K62" i="19"/>
  <c r="O37" i="19"/>
  <c r="O44" i="19"/>
  <c r="K53" i="19"/>
  <c r="M53" i="19"/>
  <c r="O99" i="19"/>
  <c r="M99" i="19"/>
  <c r="K99" i="19"/>
  <c r="I99" i="19"/>
  <c r="K9" i="19"/>
  <c r="O36" i="19"/>
  <c r="M36" i="19"/>
  <c r="I46" i="19"/>
  <c r="I53" i="19"/>
  <c r="O71" i="19"/>
  <c r="M71" i="19"/>
  <c r="K71" i="19"/>
  <c r="O17" i="19"/>
  <c r="K22" i="19"/>
  <c r="M28" i="19"/>
  <c r="K28" i="19"/>
  <c r="O32" i="19"/>
  <c r="M35" i="19"/>
  <c r="K35" i="19"/>
  <c r="K45" i="19"/>
  <c r="O46" i="19"/>
  <c r="O72" i="19"/>
  <c r="M72" i="19"/>
  <c r="K72" i="19"/>
  <c r="O74" i="19"/>
  <c r="M74" i="19"/>
  <c r="K74" i="19"/>
  <c r="O127" i="19"/>
  <c r="M127" i="19"/>
  <c r="K127" i="19"/>
  <c r="O103" i="19"/>
  <c r="M103" i="19"/>
  <c r="K103" i="19"/>
  <c r="I103" i="19"/>
  <c r="O125" i="19"/>
  <c r="M125" i="19"/>
  <c r="K125" i="19"/>
  <c r="O38" i="19"/>
  <c r="K54" i="19"/>
  <c r="O63" i="19"/>
  <c r="M63" i="19"/>
  <c r="O97" i="19"/>
  <c r="M97" i="19"/>
  <c r="K97" i="19"/>
  <c r="I97" i="19"/>
  <c r="I125" i="19"/>
  <c r="I50" i="19"/>
  <c r="O55" i="19"/>
  <c r="I63" i="19"/>
  <c r="O64" i="19"/>
  <c r="M64" i="19"/>
  <c r="M110" i="19"/>
  <c r="K110" i="19"/>
  <c r="M118" i="19"/>
  <c r="K118" i="19"/>
  <c r="M133" i="19"/>
  <c r="K133" i="19"/>
  <c r="O96" i="19"/>
  <c r="M96" i="19"/>
  <c r="K96" i="19"/>
  <c r="O98" i="19"/>
  <c r="M98" i="19"/>
  <c r="K98" i="19"/>
  <c r="O100" i="19"/>
  <c r="M100" i="19"/>
  <c r="K100" i="19"/>
  <c r="O102" i="19"/>
  <c r="M102" i="19"/>
  <c r="K102" i="19"/>
  <c r="O104" i="19"/>
  <c r="M104" i="19"/>
  <c r="K104" i="19"/>
  <c r="M109" i="19"/>
  <c r="K109" i="19"/>
  <c r="M117" i="19"/>
  <c r="K117" i="19"/>
  <c r="O56" i="19"/>
  <c r="O57" i="19"/>
  <c r="I96" i="19"/>
  <c r="I98" i="19"/>
  <c r="I100" i="19"/>
  <c r="I102" i="19"/>
  <c r="I104" i="19"/>
  <c r="I109" i="19"/>
  <c r="M114" i="19"/>
  <c r="K114" i="19"/>
  <c r="I117" i="19"/>
  <c r="M111" i="19"/>
  <c r="K111" i="19"/>
  <c r="M119" i="19"/>
  <c r="K119" i="19"/>
  <c r="M134" i="19"/>
  <c r="K134" i="19"/>
  <c r="O75" i="19"/>
  <c r="I76" i="19"/>
  <c r="I82" i="19"/>
  <c r="I83" i="19"/>
  <c r="I84" i="19"/>
  <c r="I85" i="19"/>
  <c r="I86" i="19"/>
  <c r="I87" i="19"/>
  <c r="I88" i="19"/>
  <c r="I89" i="19"/>
  <c r="K20" i="20"/>
  <c r="K190" i="20"/>
  <c r="I190" i="20"/>
  <c r="M190" i="20"/>
  <c r="O190" i="20"/>
  <c r="Q190" i="20"/>
  <c r="M228" i="20"/>
  <c r="K228" i="20"/>
  <c r="Q228" i="20"/>
  <c r="K12" i="20"/>
  <c r="M25" i="20"/>
  <c r="K25" i="20"/>
  <c r="Q25" i="20"/>
  <c r="O25" i="20"/>
  <c r="M32" i="20"/>
  <c r="K32" i="20"/>
  <c r="Q32" i="20"/>
  <c r="O32" i="20"/>
  <c r="O196" i="20"/>
  <c r="M196" i="20"/>
  <c r="K196" i="20"/>
  <c r="Q196" i="20"/>
  <c r="I196" i="20"/>
  <c r="O237" i="20"/>
  <c r="M237" i="20"/>
  <c r="K237" i="20"/>
  <c r="Q237" i="20"/>
  <c r="O12" i="20"/>
  <c r="Q11" i="20"/>
  <c r="O11" i="20"/>
  <c r="S29" i="20"/>
  <c r="Q33" i="20"/>
  <c r="O33" i="20"/>
  <c r="M33" i="20"/>
  <c r="M9" i="20"/>
  <c r="K9" i="20"/>
  <c r="Q9" i="20"/>
  <c r="O9" i="20"/>
  <c r="K11" i="20"/>
  <c r="K28" i="20"/>
  <c r="K33" i="20"/>
  <c r="K35" i="20"/>
  <c r="K177" i="20"/>
  <c r="I177" i="20"/>
  <c r="M177" i="20"/>
  <c r="Q177" i="20"/>
  <c r="K182" i="20"/>
  <c r="I182" i="20"/>
  <c r="M182" i="20"/>
  <c r="Q182" i="20"/>
  <c r="O182" i="20"/>
  <c r="M225" i="20"/>
  <c r="K225" i="20"/>
  <c r="Q225" i="20"/>
  <c r="O244" i="20"/>
  <c r="O245" i="20" s="1"/>
  <c r="M244" i="20"/>
  <c r="M245" i="20" s="1"/>
  <c r="K244" i="20"/>
  <c r="K245" i="20" s="1"/>
  <c r="Q244" i="20"/>
  <c r="I244" i="20"/>
  <c r="I245" i="20" s="1"/>
  <c r="M262" i="20"/>
  <c r="K262" i="20"/>
  <c r="Q262" i="20"/>
  <c r="I262" i="20"/>
  <c r="O18" i="20"/>
  <c r="M18" i="20"/>
  <c r="Q18" i="20"/>
  <c r="O109" i="20"/>
  <c r="O239" i="20"/>
  <c r="M239" i="20"/>
  <c r="K239" i="20"/>
  <c r="Q239" i="20"/>
  <c r="M230" i="20"/>
  <c r="K230" i="20"/>
  <c r="Q230" i="20"/>
  <c r="I230" i="20"/>
  <c r="I239" i="20"/>
  <c r="M265" i="20"/>
  <c r="K265" i="20"/>
  <c r="Q265" i="20"/>
  <c r="I228" i="20"/>
  <c r="M12" i="20"/>
  <c r="O19" i="20"/>
  <c r="Q19" i="20"/>
  <c r="K162" i="20"/>
  <c r="I162" i="20"/>
  <c r="M162" i="20"/>
  <c r="O162" i="20"/>
  <c r="Q162" i="20"/>
  <c r="O188" i="20"/>
  <c r="M222" i="20"/>
  <c r="K222" i="20"/>
  <c r="Q222" i="20"/>
  <c r="I222" i="20"/>
  <c r="I237" i="20"/>
  <c r="K18" i="20"/>
  <c r="M10" i="20"/>
  <c r="Q10" i="20"/>
  <c r="O10" i="20"/>
  <c r="Q27" i="20"/>
  <c r="O27" i="20"/>
  <c r="K10" i="20"/>
  <c r="R118" i="20"/>
  <c r="Y118" i="20" s="1"/>
  <c r="O118" i="20"/>
  <c r="I152" i="20"/>
  <c r="K152" i="20"/>
  <c r="O152" i="20"/>
  <c r="Q152" i="20"/>
  <c r="K160" i="20"/>
  <c r="I160" i="20"/>
  <c r="M160" i="20"/>
  <c r="K174" i="20"/>
  <c r="I174" i="20"/>
  <c r="M174" i="20"/>
  <c r="O174" i="20"/>
  <c r="Q174" i="20"/>
  <c r="K180" i="20"/>
  <c r="I180" i="20"/>
  <c r="M180" i="20"/>
  <c r="M257" i="20"/>
  <c r="K257" i="20"/>
  <c r="Q257" i="20"/>
  <c r="O180" i="20"/>
  <c r="M20" i="20"/>
  <c r="Q34" i="20"/>
  <c r="O34" i="20"/>
  <c r="K185" i="20"/>
  <c r="I185" i="20"/>
  <c r="M185" i="20"/>
  <c r="Q185" i="20"/>
  <c r="O20" i="20"/>
  <c r="K27" i="20"/>
  <c r="K34" i="20"/>
  <c r="K188" i="20"/>
  <c r="I188" i="20"/>
  <c r="M188" i="20"/>
  <c r="K17" i="20"/>
  <c r="Q17" i="20"/>
  <c r="O17" i="20"/>
  <c r="M17" i="20"/>
  <c r="Q26" i="20"/>
  <c r="O26" i="20"/>
  <c r="M26" i="20"/>
  <c r="O110" i="20"/>
  <c r="I148" i="20"/>
  <c r="K148" i="20"/>
  <c r="O148" i="20"/>
  <c r="Q148" i="20"/>
  <c r="M152" i="20"/>
  <c r="O160" i="20"/>
  <c r="K165" i="20"/>
  <c r="I165" i="20"/>
  <c r="M165" i="20"/>
  <c r="Q165" i="20"/>
  <c r="K172" i="20"/>
  <c r="I172" i="20"/>
  <c r="M172" i="20"/>
  <c r="I151" i="20"/>
  <c r="K151" i="20"/>
  <c r="K179" i="20"/>
  <c r="I179" i="20"/>
  <c r="M179" i="20"/>
  <c r="M193" i="20"/>
  <c r="K193" i="20"/>
  <c r="I193" i="20"/>
  <c r="O193" i="20"/>
  <c r="O203" i="20"/>
  <c r="M203" i="20"/>
  <c r="K203" i="20"/>
  <c r="Q203" i="20"/>
  <c r="O209" i="20"/>
  <c r="M209" i="20"/>
  <c r="K209" i="20"/>
  <c r="Q209" i="20"/>
  <c r="K30" i="20"/>
  <c r="M7" i="20"/>
  <c r="M15" i="20"/>
  <c r="M23" i="20"/>
  <c r="K110" i="20"/>
  <c r="I118" i="20"/>
  <c r="I144" i="20"/>
  <c r="M145" i="20"/>
  <c r="O146" i="20"/>
  <c r="I149" i="20"/>
  <c r="K149" i="20"/>
  <c r="I153" i="20"/>
  <c r="K153" i="20"/>
  <c r="K163" i="20"/>
  <c r="I163" i="20"/>
  <c r="M163" i="20"/>
  <c r="K175" i="20"/>
  <c r="I175" i="20"/>
  <c r="M175" i="20"/>
  <c r="K183" i="20"/>
  <c r="I183" i="20"/>
  <c r="M183" i="20"/>
  <c r="O204" i="20"/>
  <c r="M204" i="20"/>
  <c r="K204" i="20"/>
  <c r="Q204" i="20"/>
  <c r="O206" i="20"/>
  <c r="M206" i="20"/>
  <c r="K206" i="20"/>
  <c r="Q206" i="20"/>
  <c r="O208" i="20"/>
  <c r="M208" i="20"/>
  <c r="K208" i="20"/>
  <c r="Q208" i="20"/>
  <c r="O210" i="20"/>
  <c r="M210" i="20"/>
  <c r="K210" i="20"/>
  <c r="Q210" i="20"/>
  <c r="M223" i="20"/>
  <c r="K223" i="20"/>
  <c r="Q223" i="20"/>
  <c r="M231" i="20"/>
  <c r="K231" i="20"/>
  <c r="Q231" i="20"/>
  <c r="M263" i="20"/>
  <c r="K263" i="20"/>
  <c r="Q263" i="20"/>
  <c r="I147" i="20"/>
  <c r="K147" i="20"/>
  <c r="I155" i="20"/>
  <c r="K155" i="20"/>
  <c r="K187" i="20"/>
  <c r="I187" i="20"/>
  <c r="M187" i="20"/>
  <c r="O205" i="20"/>
  <c r="M205" i="20"/>
  <c r="K205" i="20"/>
  <c r="Q205" i="20"/>
  <c r="O211" i="20"/>
  <c r="M211" i="20"/>
  <c r="K211" i="20"/>
  <c r="Q211" i="20"/>
  <c r="M227" i="20"/>
  <c r="K227" i="20"/>
  <c r="Q227" i="20"/>
  <c r="M147" i="20"/>
  <c r="M151" i="20"/>
  <c r="M155" i="20"/>
  <c r="K164" i="20"/>
  <c r="I164" i="20"/>
  <c r="M164" i="20"/>
  <c r="K176" i="20"/>
  <c r="I176" i="20"/>
  <c r="M176" i="20"/>
  <c r="O179" i="20"/>
  <c r="K184" i="20"/>
  <c r="I184" i="20"/>
  <c r="M184" i="20"/>
  <c r="O187" i="20"/>
  <c r="Q193" i="20"/>
  <c r="I203" i="20"/>
  <c r="I205" i="20"/>
  <c r="I209" i="20"/>
  <c r="I211" i="20"/>
  <c r="O216" i="20"/>
  <c r="O217" i="20" s="1"/>
  <c r="M216" i="20"/>
  <c r="M217" i="20" s="1"/>
  <c r="K216" i="20"/>
  <c r="K217" i="20" s="1"/>
  <c r="Q216" i="20"/>
  <c r="M224" i="20"/>
  <c r="K224" i="20"/>
  <c r="Q224" i="20"/>
  <c r="I227" i="20"/>
  <c r="O254" i="20"/>
  <c r="M254" i="20"/>
  <c r="K254" i="20"/>
  <c r="Q254" i="20"/>
  <c r="O256" i="20"/>
  <c r="M256" i="20"/>
  <c r="K256" i="20"/>
  <c r="Q256" i="20"/>
  <c r="M264" i="20"/>
  <c r="K264" i="20"/>
  <c r="Q264" i="20"/>
  <c r="O147" i="20"/>
  <c r="I150" i="20"/>
  <c r="K150" i="20"/>
  <c r="O151" i="20"/>
  <c r="I154" i="20"/>
  <c r="K154" i="20"/>
  <c r="O155" i="20"/>
  <c r="K161" i="20"/>
  <c r="I161" i="20"/>
  <c r="M161" i="20"/>
  <c r="K173" i="20"/>
  <c r="I173" i="20"/>
  <c r="M173" i="20"/>
  <c r="Q179" i="20"/>
  <c r="K181" i="20"/>
  <c r="I181" i="20"/>
  <c r="M181" i="20"/>
  <c r="Q187" i="20"/>
  <c r="K189" i="20"/>
  <c r="I189" i="20"/>
  <c r="M189" i="20"/>
  <c r="I216" i="20"/>
  <c r="I217" i="20" s="1"/>
  <c r="M221" i="20"/>
  <c r="K221" i="20"/>
  <c r="Q221" i="20"/>
  <c r="I224" i="20"/>
  <c r="M229" i="20"/>
  <c r="K229" i="20"/>
  <c r="Q229" i="20"/>
  <c r="O238" i="20"/>
  <c r="M238" i="20"/>
  <c r="K238" i="20"/>
  <c r="Q238" i="20"/>
  <c r="I254" i="20"/>
  <c r="I256" i="20"/>
  <c r="I264" i="20"/>
  <c r="O207" i="20"/>
  <c r="M207" i="20"/>
  <c r="K207" i="20"/>
  <c r="Q207" i="20"/>
  <c r="I145" i="20"/>
  <c r="M146" i="20"/>
  <c r="Q147" i="20"/>
  <c r="M150" i="20"/>
  <c r="Q151" i="20"/>
  <c r="M154" i="20"/>
  <c r="Q155" i="20"/>
  <c r="K158" i="20"/>
  <c r="I158" i="20"/>
  <c r="M158" i="20"/>
  <c r="O161" i="20"/>
  <c r="Q164" i="20"/>
  <c r="K166" i="20"/>
  <c r="I166" i="20"/>
  <c r="M166" i="20"/>
  <c r="O173" i="20"/>
  <c r="Q176" i="20"/>
  <c r="K178" i="20"/>
  <c r="I178" i="20"/>
  <c r="M178" i="20"/>
  <c r="O181" i="20"/>
  <c r="K186" i="20"/>
  <c r="I186" i="20"/>
  <c r="M186" i="20"/>
  <c r="O189" i="20"/>
  <c r="O195" i="20"/>
  <c r="M195" i="20"/>
  <c r="K195" i="20"/>
  <c r="Q195" i="20"/>
  <c r="O197" i="20"/>
  <c r="M197" i="20"/>
  <c r="K197" i="20"/>
  <c r="Q197" i="20"/>
  <c r="I221" i="20"/>
  <c r="M226" i="20"/>
  <c r="K226" i="20"/>
  <c r="Q226" i="20"/>
  <c r="I229" i="20"/>
  <c r="I238" i="20"/>
  <c r="M266" i="20"/>
  <c r="K266" i="20"/>
  <c r="Q266" i="20"/>
  <c r="K156" i="20"/>
  <c r="M191" i="20"/>
  <c r="I191" i="20"/>
  <c r="V246" i="20" l="1"/>
  <c r="H23" i="25" s="1"/>
  <c r="I23" i="25" s="1"/>
  <c r="D45" i="25" s="1"/>
  <c r="L47" i="21"/>
  <c r="V218" i="20"/>
  <c r="Q84" i="24"/>
  <c r="R84" i="24"/>
  <c r="W132" i="20"/>
  <c r="J8" i="25" s="1"/>
  <c r="K8" i="25" s="1"/>
  <c r="E32" i="25" s="1"/>
  <c r="L91" i="21"/>
  <c r="Y132" i="20"/>
  <c r="R99" i="24"/>
  <c r="R115" i="24" s="1"/>
  <c r="U246" i="20"/>
  <c r="F23" i="25" s="1"/>
  <c r="G23" i="25" s="1"/>
  <c r="L81" i="21"/>
  <c r="Q99" i="24"/>
  <c r="W218" i="20"/>
  <c r="L38" i="21"/>
  <c r="F5" i="25"/>
  <c r="U277" i="20"/>
  <c r="S82" i="20"/>
  <c r="U218" i="20"/>
  <c r="L74" i="21"/>
  <c r="J15" i="25"/>
  <c r="W246" i="20"/>
  <c r="J23" i="25" s="1"/>
  <c r="K23" i="25" s="1"/>
  <c r="S79" i="20"/>
  <c r="S96" i="20"/>
  <c r="S28" i="20"/>
  <c r="S36" i="20"/>
  <c r="S74" i="20"/>
  <c r="S102" i="20"/>
  <c r="S52" i="20"/>
  <c r="S80" i="20"/>
  <c r="S139" i="20"/>
  <c r="S92" i="20"/>
  <c r="S131" i="20"/>
  <c r="S22" i="20"/>
  <c r="S72" i="20"/>
  <c r="S126" i="20"/>
  <c r="S138" i="20"/>
  <c r="S15" i="20"/>
  <c r="S30" i="20"/>
  <c r="S100" i="20"/>
  <c r="S99" i="20"/>
  <c r="S114" i="20"/>
  <c r="S94" i="20"/>
  <c r="S88" i="20"/>
  <c r="S111" i="20"/>
  <c r="S95" i="20"/>
  <c r="S63" i="20"/>
  <c r="S45" i="20"/>
  <c r="S84" i="20"/>
  <c r="S160" i="20"/>
  <c r="S67" i="20"/>
  <c r="S81" i="20"/>
  <c r="S115" i="20"/>
  <c r="S5" i="20"/>
  <c r="S130" i="20"/>
  <c r="S107" i="20"/>
  <c r="S21" i="20"/>
  <c r="S56" i="20"/>
  <c r="S37" i="20"/>
  <c r="S105" i="20"/>
  <c r="S86" i="20"/>
  <c r="S38" i="20"/>
  <c r="S108" i="20"/>
  <c r="S57" i="20"/>
  <c r="S125" i="20"/>
  <c r="S109" i="20"/>
  <c r="S185" i="20"/>
  <c r="S13" i="20"/>
  <c r="S70" i="20"/>
  <c r="S122" i="20"/>
  <c r="S76" i="20"/>
  <c r="S35" i="20"/>
  <c r="S104" i="20"/>
  <c r="S87" i="20"/>
  <c r="S47" i="20"/>
  <c r="S62" i="20"/>
  <c r="S85" i="20"/>
  <c r="S156" i="20"/>
  <c r="S64" i="20"/>
  <c r="S73" i="20"/>
  <c r="S137" i="20"/>
  <c r="S90" i="20"/>
  <c r="S75" i="20"/>
  <c r="S143" i="20"/>
  <c r="S142" i="20"/>
  <c r="S141" i="20"/>
  <c r="S78" i="20"/>
  <c r="S140" i="20"/>
  <c r="S16" i="20"/>
  <c r="S172" i="20"/>
  <c r="S68" i="20"/>
  <c r="S53" i="20"/>
  <c r="S110" i="20"/>
  <c r="S117" i="20"/>
  <c r="S144" i="20"/>
  <c r="S71" i="20"/>
  <c r="S166" i="20"/>
  <c r="S155" i="20"/>
  <c r="S264" i="20"/>
  <c r="S49" i="20"/>
  <c r="S61" i="20"/>
  <c r="S116" i="20"/>
  <c r="S91" i="20"/>
  <c r="S124" i="20"/>
  <c r="S48" i="20"/>
  <c r="S98" i="20"/>
  <c r="S44" i="20"/>
  <c r="S161" i="20"/>
  <c r="S266" i="20"/>
  <c r="S158" i="20"/>
  <c r="S224" i="20"/>
  <c r="S231" i="20"/>
  <c r="S163" i="20"/>
  <c r="S118" i="20"/>
  <c r="S83" i="20"/>
  <c r="S19" i="20"/>
  <c r="K240" i="20"/>
  <c r="S112" i="20"/>
  <c r="S119" i="20"/>
  <c r="S101" i="20"/>
  <c r="S153" i="20"/>
  <c r="S12" i="20"/>
  <c r="S128" i="20"/>
  <c r="S183" i="20"/>
  <c r="S23" i="20"/>
  <c r="S10" i="20"/>
  <c r="S58" i="20"/>
  <c r="S120" i="20"/>
  <c r="S127" i="20"/>
  <c r="S89" i="20"/>
  <c r="K39" i="20"/>
  <c r="U40" i="20" s="1"/>
  <c r="S77" i="20"/>
  <c r="S106" i="20"/>
  <c r="S93" i="20"/>
  <c r="S8" i="20"/>
  <c r="S149" i="20"/>
  <c r="S54" i="20"/>
  <c r="S14" i="20"/>
  <c r="S191" i="20"/>
  <c r="S97" i="20"/>
  <c r="O39" i="20"/>
  <c r="W40" i="20" s="1"/>
  <c r="S226" i="20"/>
  <c r="S181" i="20"/>
  <c r="S263" i="20"/>
  <c r="S175" i="20"/>
  <c r="S188" i="20"/>
  <c r="S180" i="20"/>
  <c r="S190" i="20"/>
  <c r="S121" i="20"/>
  <c r="S50" i="20"/>
  <c r="S178" i="20"/>
  <c r="S256" i="20"/>
  <c r="S211" i="20"/>
  <c r="S210" i="20"/>
  <c r="S206" i="20"/>
  <c r="S7" i="20"/>
  <c r="S225" i="20"/>
  <c r="S177" i="20"/>
  <c r="M240" i="20"/>
  <c r="S31" i="20"/>
  <c r="S60" i="20"/>
  <c r="S51" i="20"/>
  <c r="S24" i="20"/>
  <c r="S129" i="20"/>
  <c r="S187" i="20"/>
  <c r="S203" i="20"/>
  <c r="Q198" i="20"/>
  <c r="S6" i="20"/>
  <c r="S239" i="20"/>
  <c r="S55" i="20"/>
  <c r="S113" i="20"/>
  <c r="S46" i="20"/>
  <c r="I232" i="20"/>
  <c r="W233" i="20" s="1"/>
  <c r="S197" i="20"/>
  <c r="S176" i="20"/>
  <c r="S238" i="20"/>
  <c r="S257" i="20"/>
  <c r="S222" i="20"/>
  <c r="S186" i="20"/>
  <c r="O198" i="20"/>
  <c r="S207" i="20"/>
  <c r="S148" i="20"/>
  <c r="S20" i="20"/>
  <c r="S145" i="20"/>
  <c r="S59" i="20"/>
  <c r="Q128" i="19"/>
  <c r="M128" i="19"/>
  <c r="Q91" i="19"/>
  <c r="Q120" i="19"/>
  <c r="K91" i="19"/>
  <c r="Q39" i="19"/>
  <c r="Q77" i="19"/>
  <c r="Q136" i="19"/>
  <c r="K39" i="19"/>
  <c r="I128" i="19"/>
  <c r="M39" i="19"/>
  <c r="M91" i="19"/>
  <c r="O39" i="19"/>
  <c r="K136" i="19"/>
  <c r="I136" i="19"/>
  <c r="AG4" i="24"/>
  <c r="AG5" i="24"/>
  <c r="AH3" i="24"/>
  <c r="AG3" i="24"/>
  <c r="AH4" i="24"/>
  <c r="AH6" i="24"/>
  <c r="AH7" i="24"/>
  <c r="I99" i="24"/>
  <c r="K49" i="24"/>
  <c r="I49" i="24"/>
  <c r="K60" i="24"/>
  <c r="I60" i="24"/>
  <c r="K70" i="24"/>
  <c r="M37" i="24"/>
  <c r="M99" i="24"/>
  <c r="K105" i="24"/>
  <c r="M49" i="24"/>
  <c r="M60" i="24"/>
  <c r="M105" i="24"/>
  <c r="I112" i="24"/>
  <c r="K37" i="24"/>
  <c r="M70" i="24"/>
  <c r="K112" i="24"/>
  <c r="K99" i="24"/>
  <c r="I70" i="24"/>
  <c r="M112" i="24"/>
  <c r="I58" i="23"/>
  <c r="K53" i="23"/>
  <c r="K42" i="23"/>
  <c r="I42" i="23"/>
  <c r="I53" i="23"/>
  <c r="I85" i="22"/>
  <c r="K85" i="22"/>
  <c r="M46" i="22"/>
  <c r="I35" i="22"/>
  <c r="M23" i="22"/>
  <c r="M35" i="22"/>
  <c r="K35" i="22"/>
  <c r="M85" i="22"/>
  <c r="I56" i="22"/>
  <c r="M56" i="22"/>
  <c r="K23" i="22"/>
  <c r="I46" i="22"/>
  <c r="K46" i="22"/>
  <c r="K56" i="22"/>
  <c r="K38" i="21"/>
  <c r="I74" i="21"/>
  <c r="K47" i="21"/>
  <c r="K53" i="21"/>
  <c r="I38" i="21"/>
  <c r="I47" i="21"/>
  <c r="K81" i="21"/>
  <c r="K91" i="21"/>
  <c r="K28" i="21"/>
  <c r="K74" i="21"/>
  <c r="I53" i="21"/>
  <c r="I91" i="21"/>
  <c r="M136" i="19"/>
  <c r="K128" i="19"/>
  <c r="I77" i="19"/>
  <c r="I120" i="19"/>
  <c r="O128" i="19"/>
  <c r="O91" i="19"/>
  <c r="O77" i="19"/>
  <c r="I91" i="19"/>
  <c r="K77" i="19"/>
  <c r="K120" i="19"/>
  <c r="M77" i="19"/>
  <c r="M120" i="19"/>
  <c r="M267" i="20"/>
  <c r="S150" i="20"/>
  <c r="S229" i="20"/>
  <c r="S147" i="20"/>
  <c r="S184" i="20"/>
  <c r="S209" i="20"/>
  <c r="S165" i="20"/>
  <c r="S265" i="20"/>
  <c r="I267" i="20"/>
  <c r="W268" i="20" s="1"/>
  <c r="S228" i="20"/>
  <c r="Q267" i="20"/>
  <c r="S262" i="20"/>
  <c r="S25" i="20"/>
  <c r="K232" i="20"/>
  <c r="U233" i="20" s="1"/>
  <c r="S27" i="20"/>
  <c r="O240" i="20"/>
  <c r="S146" i="20"/>
  <c r="S154" i="20"/>
  <c r="M232" i="20"/>
  <c r="V233" i="20" s="1"/>
  <c r="S254" i="20"/>
  <c r="M198" i="20"/>
  <c r="S162" i="20"/>
  <c r="S230" i="20"/>
  <c r="S18" i="20"/>
  <c r="Q245" i="20"/>
  <c r="S244" i="20"/>
  <c r="S182" i="20"/>
  <c r="Q240" i="20"/>
  <c r="S237" i="20"/>
  <c r="S189" i="20"/>
  <c r="S26" i="20"/>
  <c r="S9" i="20"/>
  <c r="S173" i="20"/>
  <c r="S151" i="20"/>
  <c r="S179" i="20"/>
  <c r="Q217" i="20"/>
  <c r="X218" i="20" s="1"/>
  <c r="S216" i="20"/>
  <c r="S193" i="20"/>
  <c r="S205" i="20"/>
  <c r="S208" i="20"/>
  <c r="S204" i="20"/>
  <c r="I198" i="20"/>
  <c r="S17" i="20"/>
  <c r="S196" i="20"/>
  <c r="Q39" i="20"/>
  <c r="X40" i="20" s="1"/>
  <c r="K267" i="20"/>
  <c r="Q232" i="20"/>
  <c r="X233" i="20" s="1"/>
  <c r="S221" i="20"/>
  <c r="S11" i="20"/>
  <c r="S195" i="20"/>
  <c r="S164" i="20"/>
  <c r="S227" i="20"/>
  <c r="S223" i="20"/>
  <c r="K198" i="20"/>
  <c r="U199" i="20" s="1"/>
  <c r="S34" i="20"/>
  <c r="S174" i="20"/>
  <c r="S152" i="20"/>
  <c r="I240" i="20"/>
  <c r="S33" i="20"/>
  <c r="S32" i="20"/>
  <c r="M39" i="20"/>
  <c r="V40" i="20" s="1"/>
  <c r="Q115" i="24" l="1"/>
  <c r="U99" i="24"/>
  <c r="W74" i="24" s="1"/>
  <c r="V199" i="20"/>
  <c r="AG9" i="24"/>
  <c r="S245" i="20"/>
  <c r="X246" i="20"/>
  <c r="L23" i="25" s="1"/>
  <c r="M23" i="25" s="1"/>
  <c r="G45" i="25" s="1"/>
  <c r="V268" i="20"/>
  <c r="X268" i="20"/>
  <c r="V241" i="20"/>
  <c r="U241" i="20"/>
  <c r="F12" i="25"/>
  <c r="G5" i="25"/>
  <c r="C32" i="25" s="1"/>
  <c r="F32" i="25" s="1"/>
  <c r="U268" i="20"/>
  <c r="W199" i="20"/>
  <c r="J21" i="25"/>
  <c r="K21" i="25" s="1"/>
  <c r="E45" i="25" s="1"/>
  <c r="K15" i="25"/>
  <c r="E39" i="25" s="1"/>
  <c r="X241" i="20"/>
  <c r="W241" i="20"/>
  <c r="X199" i="20"/>
  <c r="S198" i="20"/>
  <c r="Y199" i="20" s="1"/>
  <c r="T198" i="20"/>
  <c r="T240" i="20"/>
  <c r="S240" i="20"/>
  <c r="Y241" i="20" s="1"/>
  <c r="S232" i="20"/>
  <c r="Y233" i="20" s="1"/>
  <c r="T232" i="20"/>
  <c r="T217" i="20"/>
  <c r="S217" i="20"/>
  <c r="Y218" i="20" s="1"/>
  <c r="S267" i="20"/>
  <c r="Y268" i="20" s="1"/>
  <c r="T267" i="20"/>
  <c r="T39" i="20"/>
  <c r="S39" i="20"/>
  <c r="Y40" i="20" s="1"/>
  <c r="H32" i="25" l="1"/>
  <c r="T245" i="20"/>
  <c r="Y246" i="20"/>
  <c r="H39" i="25"/>
  <c r="F18" i="25"/>
  <c r="G18" i="25" s="1"/>
  <c r="C45" i="25" s="1"/>
  <c r="F45" i="25" s="1"/>
  <c r="G12" i="25"/>
  <c r="C39" i="25" s="1"/>
  <c r="F39" i="25" s="1"/>
  <c r="G96" i="21"/>
  <c r="H45" i="25" l="1"/>
  <c r="R272" i="15"/>
  <c r="L4" i="18" l="1"/>
  <c r="L49" i="18"/>
  <c r="N74" i="18"/>
  <c r="N15" i="18"/>
  <c r="N77" i="18" s="1"/>
  <c r="N13" i="18"/>
  <c r="L2" i="18"/>
  <c r="K2" i="18" s="1"/>
  <c r="N61" i="16"/>
  <c r="L2" i="16"/>
  <c r="J38" i="15"/>
  <c r="H262" i="15"/>
  <c r="J322" i="17" l="1"/>
  <c r="J330" i="17" s="1"/>
  <c r="K327" i="17"/>
  <c r="H263" i="15" l="1"/>
  <c r="H264" i="15"/>
  <c r="H265" i="15"/>
  <c r="H266" i="15"/>
  <c r="H256" i="15"/>
  <c r="H257" i="15"/>
  <c r="H254" i="15"/>
  <c r="H244" i="15"/>
  <c r="H238" i="15"/>
  <c r="H239" i="15"/>
  <c r="H237" i="15"/>
  <c r="H222" i="15"/>
  <c r="H223" i="15"/>
  <c r="H224" i="15"/>
  <c r="H225" i="15"/>
  <c r="H226" i="15"/>
  <c r="H227" i="15"/>
  <c r="H228" i="15"/>
  <c r="H229" i="15"/>
  <c r="H230" i="15"/>
  <c r="H231" i="15"/>
  <c r="H221" i="15"/>
  <c r="H216" i="15"/>
  <c r="H203" i="15"/>
  <c r="H204" i="15"/>
  <c r="H205" i="15"/>
  <c r="H206" i="15"/>
  <c r="H207" i="15"/>
  <c r="H208" i="15"/>
  <c r="H209" i="15"/>
  <c r="H210" i="15"/>
  <c r="H211" i="15"/>
  <c r="H197" i="15"/>
  <c r="H196" i="15"/>
  <c r="H195" i="15"/>
  <c r="H193" i="15"/>
  <c r="H178" i="15"/>
  <c r="H179" i="15"/>
  <c r="H180" i="15"/>
  <c r="H181" i="15"/>
  <c r="H182" i="15"/>
  <c r="H183" i="15"/>
  <c r="H184" i="15"/>
  <c r="H185" i="15"/>
  <c r="H186" i="15"/>
  <c r="H187" i="15"/>
  <c r="H188" i="15"/>
  <c r="H189" i="15"/>
  <c r="H190" i="15"/>
  <c r="H191" i="15"/>
  <c r="H177" i="15"/>
  <c r="H174" i="15"/>
  <c r="H175" i="15"/>
  <c r="H176" i="15"/>
  <c r="H173" i="15"/>
  <c r="H172" i="15"/>
  <c r="H163" i="15"/>
  <c r="H166" i="15"/>
  <c r="H165" i="15"/>
  <c r="H164" i="15"/>
  <c r="H160" i="15"/>
  <c r="H161" i="15"/>
  <c r="H162" i="15"/>
  <c r="H158" i="15"/>
  <c r="H156" i="15"/>
  <c r="H155" i="15"/>
  <c r="H154" i="15"/>
  <c r="H153" i="15"/>
  <c r="H152" i="15"/>
  <c r="H151" i="15"/>
  <c r="H138" i="15"/>
  <c r="H139" i="15"/>
  <c r="H140" i="15"/>
  <c r="H141" i="15"/>
  <c r="H142" i="15"/>
  <c r="H143" i="15"/>
  <c r="H144" i="15"/>
  <c r="H145" i="15"/>
  <c r="H146" i="15"/>
  <c r="H147" i="15"/>
  <c r="H148" i="15"/>
  <c r="H149" i="15"/>
  <c r="H150" i="15"/>
  <c r="H137" i="15"/>
  <c r="H127" i="15"/>
  <c r="H128" i="15"/>
  <c r="H129" i="15"/>
  <c r="H130" i="15"/>
  <c r="H131" i="15"/>
  <c r="H119" i="15"/>
  <c r="H120" i="15"/>
  <c r="H121" i="15"/>
  <c r="H122" i="15"/>
  <c r="H124" i="15"/>
  <c r="H125" i="15"/>
  <c r="H126" i="15"/>
  <c r="H118" i="15"/>
  <c r="H117" i="15"/>
  <c r="H94" i="15"/>
  <c r="H95" i="15"/>
  <c r="H96" i="15"/>
  <c r="H97" i="15"/>
  <c r="H98" i="15"/>
  <c r="H99" i="15"/>
  <c r="H100" i="15"/>
  <c r="H101" i="15"/>
  <c r="H102" i="15"/>
  <c r="H104" i="15"/>
  <c r="H105" i="15"/>
  <c r="H106" i="15"/>
  <c r="H107" i="15"/>
  <c r="H108" i="15"/>
  <c r="H109" i="15"/>
  <c r="H110" i="15"/>
  <c r="H111" i="15"/>
  <c r="H112" i="15"/>
  <c r="H113" i="15"/>
  <c r="H114" i="15"/>
  <c r="H115" i="15"/>
  <c r="H116" i="15"/>
  <c r="H93" i="15"/>
  <c r="H91" i="15"/>
  <c r="H92" i="15"/>
  <c r="H88" i="15"/>
  <c r="H89" i="15"/>
  <c r="H90" i="15"/>
  <c r="H87" i="15"/>
  <c r="H86" i="15"/>
  <c r="H85" i="15"/>
  <c r="H84" i="15"/>
  <c r="H83" i="15"/>
  <c r="H82" i="15"/>
  <c r="H81" i="15"/>
  <c r="H80" i="15"/>
  <c r="H79" i="15"/>
  <c r="H78" i="15"/>
  <c r="H77" i="15"/>
  <c r="H76" i="15"/>
  <c r="H75" i="15"/>
  <c r="H74" i="15"/>
  <c r="H73" i="15"/>
  <c r="H72" i="15"/>
  <c r="H71" i="15"/>
  <c r="H70" i="15"/>
  <c r="H68" i="15"/>
  <c r="H67" i="15"/>
  <c r="H64" i="15"/>
  <c r="H63" i="15"/>
  <c r="H62" i="15"/>
  <c r="H61" i="15"/>
  <c r="H60" i="15"/>
  <c r="H59" i="15"/>
  <c r="H58" i="15"/>
  <c r="H57" i="15"/>
  <c r="H56" i="15"/>
  <c r="H55" i="15"/>
  <c r="H54" i="15"/>
  <c r="H53" i="15"/>
  <c r="H52" i="15"/>
  <c r="H51" i="15"/>
  <c r="H50" i="15"/>
  <c r="H49" i="15"/>
  <c r="H48" i="15"/>
  <c r="H47" i="15"/>
  <c r="H46" i="15"/>
  <c r="H45" i="15"/>
  <c r="H44" i="15"/>
  <c r="H38" i="15"/>
  <c r="H37" i="15"/>
  <c r="H36" i="15"/>
  <c r="H35" i="15"/>
  <c r="H34" i="15"/>
  <c r="H33" i="15"/>
  <c r="H32" i="15"/>
  <c r="H31" i="15"/>
  <c r="H30" i="15"/>
  <c r="H28" i="15"/>
  <c r="H27" i="15"/>
  <c r="H26" i="15"/>
  <c r="H25" i="15"/>
  <c r="H24" i="15"/>
  <c r="H23" i="15"/>
  <c r="H22" i="15"/>
  <c r="H21" i="15"/>
  <c r="H20" i="15"/>
  <c r="H19" i="15"/>
  <c r="H18" i="15"/>
  <c r="H17" i="15"/>
  <c r="H16" i="15"/>
  <c r="H15" i="15"/>
  <c r="H14" i="15"/>
  <c r="H13" i="15"/>
  <c r="H12" i="15"/>
  <c r="H11" i="15"/>
  <c r="H10" i="15"/>
  <c r="H9" i="15"/>
  <c r="H8" i="15"/>
  <c r="H7" i="15"/>
  <c r="H6" i="15"/>
  <c r="H5" i="15"/>
  <c r="E288" i="17"/>
  <c r="D184" i="17" l="1"/>
  <c r="D281" i="17"/>
  <c r="D85" i="17"/>
  <c r="D80" i="17"/>
  <c r="D79" i="17"/>
  <c r="H69" i="15" l="1"/>
  <c r="H35" i="27"/>
  <c r="H69" i="20"/>
  <c r="H255" i="15"/>
  <c r="D9" i="13" s="1"/>
  <c r="H185" i="27"/>
  <c r="H255" i="20"/>
  <c r="H65" i="15"/>
  <c r="H31" i="27"/>
  <c r="H65" i="20"/>
  <c r="H159" i="15"/>
  <c r="H125" i="27"/>
  <c r="H159" i="20"/>
  <c r="H66" i="15"/>
  <c r="H32" i="27"/>
  <c r="H66" i="20"/>
  <c r="E13" i="2"/>
  <c r="F10" i="3"/>
  <c r="D227" i="17"/>
  <c r="D141" i="17"/>
  <c r="E141" i="17" s="1"/>
  <c r="K21" i="14"/>
  <c r="I21" i="14"/>
  <c r="G21" i="14"/>
  <c r="E21" i="14"/>
  <c r="D21" i="14"/>
  <c r="K17" i="14"/>
  <c r="I17" i="14"/>
  <c r="G17" i="14"/>
  <c r="E17" i="14"/>
  <c r="D17" i="14"/>
  <c r="K13" i="14"/>
  <c r="I13" i="14"/>
  <c r="G13" i="14"/>
  <c r="E13" i="14"/>
  <c r="D13" i="14"/>
  <c r="K9" i="14"/>
  <c r="I9" i="14"/>
  <c r="G9" i="14"/>
  <c r="E9" i="14"/>
  <c r="D9" i="14"/>
  <c r="K5" i="14"/>
  <c r="I5" i="14"/>
  <c r="G5" i="14"/>
  <c r="E5" i="14"/>
  <c r="D5" i="14"/>
  <c r="K13" i="13"/>
  <c r="I13" i="13"/>
  <c r="G13" i="13"/>
  <c r="E13" i="13"/>
  <c r="D13" i="13"/>
  <c r="K9" i="13"/>
  <c r="I9" i="13"/>
  <c r="G9" i="13"/>
  <c r="E9" i="13"/>
  <c r="K5" i="13"/>
  <c r="I5" i="13"/>
  <c r="G5" i="13"/>
  <c r="E5" i="13"/>
  <c r="D5" i="13"/>
  <c r="K5" i="12"/>
  <c r="I5" i="12"/>
  <c r="G5" i="12"/>
  <c r="E5" i="12"/>
  <c r="K5" i="11"/>
  <c r="I5" i="11"/>
  <c r="G5" i="11"/>
  <c r="E5" i="11"/>
  <c r="D5" i="11"/>
  <c r="K13" i="10"/>
  <c r="I13" i="10"/>
  <c r="G13" i="10"/>
  <c r="E13" i="10"/>
  <c r="D13" i="10"/>
  <c r="K9" i="10"/>
  <c r="I9" i="10"/>
  <c r="G9" i="10"/>
  <c r="E9" i="10"/>
  <c r="D9" i="10"/>
  <c r="K5" i="10"/>
  <c r="I5" i="10"/>
  <c r="G5" i="10"/>
  <c r="E5" i="10"/>
  <c r="D5" i="10"/>
  <c r="K17" i="9"/>
  <c r="I17" i="9"/>
  <c r="G17" i="9"/>
  <c r="E17" i="9"/>
  <c r="D17" i="9"/>
  <c r="K13" i="9"/>
  <c r="I13" i="9"/>
  <c r="G13" i="9"/>
  <c r="E13" i="9"/>
  <c r="D13" i="9"/>
  <c r="K9" i="9"/>
  <c r="I9" i="9"/>
  <c r="G9" i="9"/>
  <c r="E9" i="9"/>
  <c r="D9" i="9"/>
  <c r="K5" i="9"/>
  <c r="I5" i="9"/>
  <c r="G5" i="9"/>
  <c r="E5" i="9"/>
  <c r="D5" i="9"/>
  <c r="K5" i="8"/>
  <c r="I5" i="8"/>
  <c r="G5" i="8"/>
  <c r="E5" i="8"/>
  <c r="D5" i="8"/>
  <c r="K14" i="7"/>
  <c r="I14" i="7"/>
  <c r="E14" i="7"/>
  <c r="D14" i="7"/>
  <c r="K12" i="7"/>
  <c r="I12" i="7"/>
  <c r="G12" i="7"/>
  <c r="E12" i="7"/>
  <c r="D12" i="7"/>
  <c r="K9" i="7"/>
  <c r="I9" i="7"/>
  <c r="G9" i="7"/>
  <c r="E9" i="7"/>
  <c r="D9" i="7"/>
  <c r="K5" i="7"/>
  <c r="I5" i="7"/>
  <c r="G5" i="7"/>
  <c r="E5" i="7"/>
  <c r="K100" i="6"/>
  <c r="I100" i="6"/>
  <c r="G100" i="6"/>
  <c r="E100" i="6"/>
  <c r="D100" i="6"/>
  <c r="K97" i="6"/>
  <c r="I97" i="6"/>
  <c r="G97" i="6"/>
  <c r="E97" i="6"/>
  <c r="D97" i="6"/>
  <c r="K93" i="6"/>
  <c r="I93" i="6"/>
  <c r="G93" i="6"/>
  <c r="E93" i="6"/>
  <c r="D93" i="6"/>
  <c r="K90" i="6"/>
  <c r="I90" i="6"/>
  <c r="G90" i="6"/>
  <c r="E90" i="6"/>
  <c r="D90" i="6"/>
  <c r="K87" i="6"/>
  <c r="I87" i="6"/>
  <c r="G87" i="6"/>
  <c r="E87" i="6"/>
  <c r="D87" i="6"/>
  <c r="K71" i="6"/>
  <c r="I71" i="6"/>
  <c r="G71" i="6"/>
  <c r="K67" i="6"/>
  <c r="I67" i="6"/>
  <c r="G67" i="6"/>
  <c r="K63" i="6"/>
  <c r="I63" i="6"/>
  <c r="G63" i="6"/>
  <c r="K59" i="6"/>
  <c r="I59" i="6"/>
  <c r="G59" i="6"/>
  <c r="K51" i="6"/>
  <c r="I51" i="6"/>
  <c r="G51" i="6"/>
  <c r="G47" i="6"/>
  <c r="K47" i="6"/>
  <c r="I47" i="6"/>
  <c r="K43" i="6"/>
  <c r="I43" i="6"/>
  <c r="G43" i="6"/>
  <c r="K39" i="6"/>
  <c r="K35" i="6"/>
  <c r="G39" i="6"/>
  <c r="I35" i="6"/>
  <c r="G35" i="6"/>
  <c r="K32" i="6"/>
  <c r="I32" i="6"/>
  <c r="G32" i="6"/>
  <c r="E32" i="6"/>
  <c r="E35" i="6"/>
  <c r="E39" i="6"/>
  <c r="E43" i="6"/>
  <c r="E47" i="6"/>
  <c r="E51" i="6"/>
  <c r="E55" i="6"/>
  <c r="E59" i="6"/>
  <c r="E63" i="6"/>
  <c r="E67" i="6"/>
  <c r="E71" i="6"/>
  <c r="D71" i="6"/>
  <c r="F74" i="6" s="1"/>
  <c r="D67" i="6"/>
  <c r="D63" i="6"/>
  <c r="D59" i="6"/>
  <c r="D55" i="6"/>
  <c r="D51" i="6"/>
  <c r="D47" i="6"/>
  <c r="D43" i="6"/>
  <c r="D39" i="6"/>
  <c r="F42" i="6" s="1"/>
  <c r="D35" i="6"/>
  <c r="D32" i="6"/>
  <c r="D17" i="6"/>
  <c r="D13" i="6"/>
  <c r="D9" i="6"/>
  <c r="E5" i="6"/>
  <c r="D5" i="6"/>
  <c r="D45" i="5"/>
  <c r="D42" i="5"/>
  <c r="D39" i="5"/>
  <c r="D36" i="5"/>
  <c r="I36" i="5"/>
  <c r="K21" i="5"/>
  <c r="I21" i="5"/>
  <c r="G21" i="5"/>
  <c r="E21" i="5"/>
  <c r="D21" i="5"/>
  <c r="K18" i="5"/>
  <c r="I18" i="5"/>
  <c r="G18" i="5"/>
  <c r="E18" i="5"/>
  <c r="D18" i="5"/>
  <c r="K15" i="5"/>
  <c r="I15" i="5"/>
  <c r="G15" i="5"/>
  <c r="E15" i="5"/>
  <c r="D15" i="5"/>
  <c r="K11" i="5"/>
  <c r="I11" i="5"/>
  <c r="G11" i="5"/>
  <c r="E11" i="5"/>
  <c r="D11" i="5"/>
  <c r="K7" i="5"/>
  <c r="I7" i="5"/>
  <c r="G7" i="5"/>
  <c r="E7" i="5"/>
  <c r="D7" i="5"/>
  <c r="K4" i="5"/>
  <c r="I4" i="5"/>
  <c r="G4" i="5"/>
  <c r="E4" i="5"/>
  <c r="D4" i="5"/>
  <c r="E36" i="5"/>
  <c r="K42" i="4"/>
  <c r="I42" i="4"/>
  <c r="G42" i="4"/>
  <c r="D42" i="4"/>
  <c r="E42" i="4"/>
  <c r="K38" i="4"/>
  <c r="I38" i="4"/>
  <c r="G38" i="4"/>
  <c r="E38" i="4"/>
  <c r="D38" i="4"/>
  <c r="K34" i="4"/>
  <c r="I34" i="4"/>
  <c r="G34" i="4"/>
  <c r="E34" i="4"/>
  <c r="D34" i="4"/>
  <c r="K30" i="4"/>
  <c r="I30" i="4"/>
  <c r="G30" i="4"/>
  <c r="E30" i="4"/>
  <c r="D30" i="4"/>
  <c r="K26" i="4"/>
  <c r="I26" i="4"/>
  <c r="G26" i="4"/>
  <c r="E26" i="4"/>
  <c r="D26" i="4"/>
  <c r="D11" i="4"/>
  <c r="D7" i="4"/>
  <c r="D3" i="4"/>
  <c r="K13" i="6"/>
  <c r="I13" i="6"/>
  <c r="G13" i="6"/>
  <c r="E13" i="6"/>
  <c r="K9" i="6"/>
  <c r="I9" i="6"/>
  <c r="G9" i="6"/>
  <c r="E9" i="6"/>
  <c r="K5" i="6"/>
  <c r="I5" i="6"/>
  <c r="G5" i="6"/>
  <c r="K45" i="5"/>
  <c r="I45" i="5"/>
  <c r="G45" i="5"/>
  <c r="E45" i="5"/>
  <c r="K42" i="5"/>
  <c r="I42" i="5"/>
  <c r="G42" i="5"/>
  <c r="E42" i="5"/>
  <c r="K39" i="5"/>
  <c r="I39" i="5"/>
  <c r="G39" i="5"/>
  <c r="E39" i="5"/>
  <c r="K36" i="5"/>
  <c r="G36" i="5"/>
  <c r="K11" i="4"/>
  <c r="I11" i="4"/>
  <c r="G11" i="4"/>
  <c r="E11" i="4"/>
  <c r="K7" i="4"/>
  <c r="I7" i="4"/>
  <c r="G7" i="4"/>
  <c r="E7" i="4"/>
  <c r="K3" i="4"/>
  <c r="I3" i="4"/>
  <c r="G3" i="4"/>
  <c r="E3" i="4"/>
  <c r="E289" i="17"/>
  <c r="E290" i="17"/>
  <c r="E291" i="17"/>
  <c r="E292" i="17"/>
  <c r="E281" i="17"/>
  <c r="E282" i="17"/>
  <c r="E283" i="17"/>
  <c r="E280" i="17"/>
  <c r="E270" i="17"/>
  <c r="E271" i="17" s="1"/>
  <c r="D313" i="17" s="1"/>
  <c r="E263" i="17"/>
  <c r="E264" i="17"/>
  <c r="E262" i="17"/>
  <c r="E247" i="17"/>
  <c r="E248" i="17"/>
  <c r="E249" i="17"/>
  <c r="E250" i="17"/>
  <c r="E251" i="17"/>
  <c r="E252" i="17"/>
  <c r="E253" i="17"/>
  <c r="E254" i="17"/>
  <c r="E255" i="17"/>
  <c r="E256" i="17"/>
  <c r="E246" i="17"/>
  <c r="E241" i="17"/>
  <c r="E242" i="17" s="1"/>
  <c r="D310" i="17" s="1"/>
  <c r="E228" i="17"/>
  <c r="E229" i="17"/>
  <c r="E230" i="17"/>
  <c r="E231" i="17"/>
  <c r="E232" i="17"/>
  <c r="E233" i="17"/>
  <c r="E234" i="17"/>
  <c r="E235" i="17"/>
  <c r="E236" i="17"/>
  <c r="E197" i="17"/>
  <c r="E198" i="17"/>
  <c r="E199" i="17"/>
  <c r="E200" i="17"/>
  <c r="E201" i="17"/>
  <c r="E202" i="17"/>
  <c r="E203" i="17"/>
  <c r="E204" i="17"/>
  <c r="E205" i="17"/>
  <c r="E206" i="17"/>
  <c r="E207" i="17"/>
  <c r="E208" i="17"/>
  <c r="E209" i="17"/>
  <c r="E210" i="17"/>
  <c r="E211" i="17"/>
  <c r="E212" i="17"/>
  <c r="E213" i="17"/>
  <c r="E214" i="17"/>
  <c r="E215" i="17"/>
  <c r="E216" i="17"/>
  <c r="E217" i="17"/>
  <c r="E218" i="17"/>
  <c r="E219" i="17"/>
  <c r="E220" i="17"/>
  <c r="E221" i="17"/>
  <c r="E222" i="17"/>
  <c r="E196" i="17"/>
  <c r="E160" i="17"/>
  <c r="E161" i="17"/>
  <c r="E162" i="17"/>
  <c r="E163" i="17"/>
  <c r="E164" i="17"/>
  <c r="E165" i="17"/>
  <c r="E166" i="17"/>
  <c r="E167" i="17"/>
  <c r="E168" i="17"/>
  <c r="E169" i="17"/>
  <c r="E170" i="17"/>
  <c r="E171" i="17"/>
  <c r="E172" i="17"/>
  <c r="E173" i="17"/>
  <c r="E174" i="17"/>
  <c r="E175" i="17"/>
  <c r="E176" i="17"/>
  <c r="E177" i="17"/>
  <c r="E178" i="17"/>
  <c r="E179" i="17"/>
  <c r="E180" i="17"/>
  <c r="E181" i="17"/>
  <c r="E182" i="17"/>
  <c r="E183" i="17"/>
  <c r="E184" i="17"/>
  <c r="E185" i="17"/>
  <c r="E186" i="17"/>
  <c r="E187" i="17"/>
  <c r="E188" i="17"/>
  <c r="E189" i="17"/>
  <c r="E190" i="17"/>
  <c r="E159" i="17"/>
  <c r="E112" i="17"/>
  <c r="E113" i="17"/>
  <c r="E114" i="17"/>
  <c r="E115" i="17"/>
  <c r="E116" i="17"/>
  <c r="E117" i="17"/>
  <c r="E118" i="17"/>
  <c r="E119" i="17"/>
  <c r="E120" i="17"/>
  <c r="E121" i="17"/>
  <c r="E122" i="17"/>
  <c r="E123" i="17"/>
  <c r="E124" i="17"/>
  <c r="E125" i="17"/>
  <c r="E126" i="17"/>
  <c r="E129" i="17"/>
  <c r="E130" i="17"/>
  <c r="E131" i="17"/>
  <c r="E132" i="17"/>
  <c r="E133" i="17"/>
  <c r="E134" i="17"/>
  <c r="E135" i="17"/>
  <c r="E136" i="17"/>
  <c r="E137" i="17"/>
  <c r="E138" i="17"/>
  <c r="E139" i="17"/>
  <c r="E140" i="17"/>
  <c r="E142" i="17"/>
  <c r="E143" i="17"/>
  <c r="E144" i="17"/>
  <c r="E145" i="17"/>
  <c r="E146" i="17"/>
  <c r="E147" i="17"/>
  <c r="E148" i="17"/>
  <c r="E149" i="17"/>
  <c r="E150" i="17"/>
  <c r="E151" i="17"/>
  <c r="E152" i="17"/>
  <c r="E111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E70" i="17"/>
  <c r="E71" i="17"/>
  <c r="E72" i="17"/>
  <c r="E73" i="17"/>
  <c r="E74" i="17"/>
  <c r="E75" i="17"/>
  <c r="E76" i="17"/>
  <c r="E77" i="17"/>
  <c r="E78" i="17"/>
  <c r="E79" i="17"/>
  <c r="E80" i="17"/>
  <c r="E81" i="17"/>
  <c r="E82" i="17"/>
  <c r="E83" i="17"/>
  <c r="E84" i="17"/>
  <c r="E85" i="17"/>
  <c r="E86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E101" i="17"/>
  <c r="E102" i="17"/>
  <c r="E103" i="17"/>
  <c r="E104" i="17"/>
  <c r="E105" i="17"/>
  <c r="E106" i="17"/>
  <c r="E107" i="17"/>
  <c r="E108" i="17"/>
  <c r="E54" i="17"/>
  <c r="E4" i="17"/>
  <c r="E5" i="17"/>
  <c r="E6" i="17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3" i="17"/>
  <c r="F36" i="6" l="1"/>
  <c r="F70" i="6"/>
  <c r="F53" i="6"/>
  <c r="F58" i="6"/>
  <c r="K159" i="20"/>
  <c r="K167" i="20" s="1"/>
  <c r="I159" i="20"/>
  <c r="I167" i="20" s="1"/>
  <c r="M159" i="20"/>
  <c r="M167" i="20" s="1"/>
  <c r="V168" i="20" s="1"/>
  <c r="O159" i="20"/>
  <c r="O167" i="20" s="1"/>
  <c r="Q159" i="20"/>
  <c r="K31" i="27"/>
  <c r="I31" i="27"/>
  <c r="H123" i="15"/>
  <c r="H89" i="27"/>
  <c r="H27" i="23"/>
  <c r="H61" i="19"/>
  <c r="H123" i="20"/>
  <c r="M66" i="20"/>
  <c r="Q66" i="20"/>
  <c r="I66" i="20"/>
  <c r="O66" i="20"/>
  <c r="K66" i="20"/>
  <c r="I125" i="27"/>
  <c r="I133" i="27" s="1"/>
  <c r="K125" i="27"/>
  <c r="K133" i="27" s="1"/>
  <c r="O69" i="20"/>
  <c r="Q69" i="20"/>
  <c r="I69" i="20"/>
  <c r="K69" i="20"/>
  <c r="M69" i="20"/>
  <c r="H74" i="24"/>
  <c r="H60" i="22"/>
  <c r="H202" i="20"/>
  <c r="H57" i="21"/>
  <c r="H95" i="19"/>
  <c r="K32" i="27"/>
  <c r="I32" i="27"/>
  <c r="Q255" i="20"/>
  <c r="I255" i="20"/>
  <c r="I258" i="20" s="1"/>
  <c r="O255" i="20"/>
  <c r="O258" i="20" s="1"/>
  <c r="M255" i="20"/>
  <c r="M258" i="20" s="1"/>
  <c r="K255" i="20"/>
  <c r="K258" i="20" s="1"/>
  <c r="I35" i="27"/>
  <c r="K35" i="27"/>
  <c r="M65" i="20"/>
  <c r="Q65" i="20"/>
  <c r="K65" i="20"/>
  <c r="O65" i="20"/>
  <c r="I65" i="20"/>
  <c r="K185" i="27"/>
  <c r="K188" i="27" s="1"/>
  <c r="I185" i="27"/>
  <c r="I188" i="27" s="1"/>
  <c r="E227" i="17"/>
  <c r="H202" i="15"/>
  <c r="D5" i="7" s="1"/>
  <c r="D275" i="17"/>
  <c r="F60" i="6"/>
  <c r="F34" i="6"/>
  <c r="F64" i="6"/>
  <c r="F46" i="6"/>
  <c r="F50" i="6"/>
  <c r="E284" i="17"/>
  <c r="D315" i="17" s="1"/>
  <c r="F44" i="6"/>
  <c r="F45" i="6"/>
  <c r="E191" i="17"/>
  <c r="D307" i="17" s="1"/>
  <c r="E223" i="17"/>
  <c r="D308" i="17" s="1"/>
  <c r="E265" i="17"/>
  <c r="D312" i="17" s="1"/>
  <c r="F49" i="6"/>
  <c r="E49" i="17"/>
  <c r="D305" i="17" s="1"/>
  <c r="F54" i="6"/>
  <c r="E293" i="17"/>
  <c r="D316" i="17" s="1"/>
  <c r="E257" i="17"/>
  <c r="D311" i="17" s="1"/>
  <c r="E153" i="17"/>
  <c r="E237" i="17"/>
  <c r="D309" i="17" s="1"/>
  <c r="F56" i="6"/>
  <c r="F33" i="6"/>
  <c r="F57" i="6"/>
  <c r="F65" i="6"/>
  <c r="F37" i="6"/>
  <c r="F68" i="6"/>
  <c r="F38" i="6"/>
  <c r="F48" i="6"/>
  <c r="F69" i="6"/>
  <c r="F40" i="6"/>
  <c r="F62" i="6"/>
  <c r="F72" i="6"/>
  <c r="F61" i="6"/>
  <c r="F41" i="6"/>
  <c r="F52" i="6"/>
  <c r="F73" i="6"/>
  <c r="F66" i="6"/>
  <c r="E109" i="17"/>
  <c r="S66" i="20" l="1"/>
  <c r="I95" i="19"/>
  <c r="I105" i="19" s="1"/>
  <c r="O95" i="19"/>
  <c r="O105" i="19" s="1"/>
  <c r="M95" i="19"/>
  <c r="M105" i="19" s="1"/>
  <c r="Q95" i="19"/>
  <c r="Q105" i="19" s="1"/>
  <c r="K95" i="19"/>
  <c r="K105" i="19" s="1"/>
  <c r="I74" i="24"/>
  <c r="I84" i="24" s="1"/>
  <c r="M74" i="24"/>
  <c r="M84" i="24" s="1"/>
  <c r="K74" i="24"/>
  <c r="K84" i="24" s="1"/>
  <c r="H249" i="15"/>
  <c r="D5" i="12" s="1"/>
  <c r="H179" i="27"/>
  <c r="H249" i="20"/>
  <c r="S65" i="20"/>
  <c r="U259" i="20"/>
  <c r="Q258" i="20"/>
  <c r="S255" i="20"/>
  <c r="I57" i="21"/>
  <c r="I67" i="21" s="1"/>
  <c r="K57" i="21"/>
  <c r="I123" i="20"/>
  <c r="I132" i="20" s="1"/>
  <c r="O123" i="20"/>
  <c r="O132" i="20" s="1"/>
  <c r="K123" i="20"/>
  <c r="K132" i="20" s="1"/>
  <c r="M123" i="20"/>
  <c r="M132" i="20" s="1"/>
  <c r="Q123" i="20"/>
  <c r="W168" i="20"/>
  <c r="V259" i="20"/>
  <c r="I202" i="20"/>
  <c r="I212" i="20" s="1"/>
  <c r="Q202" i="20"/>
  <c r="O202" i="20"/>
  <c r="O212" i="20" s="1"/>
  <c r="M202" i="20"/>
  <c r="M212" i="20" s="1"/>
  <c r="K202" i="20"/>
  <c r="K212" i="20" s="1"/>
  <c r="U213" i="20" s="1"/>
  <c r="K61" i="19"/>
  <c r="K65" i="19" s="1"/>
  <c r="O61" i="19"/>
  <c r="O65" i="19" s="1"/>
  <c r="M61" i="19"/>
  <c r="M65" i="19" s="1"/>
  <c r="Q61" i="19"/>
  <c r="Q65" i="19" s="1"/>
  <c r="I61" i="19"/>
  <c r="I65" i="19" s="1"/>
  <c r="W259" i="20"/>
  <c r="M60" i="22"/>
  <c r="M70" i="22" s="1"/>
  <c r="I60" i="22"/>
  <c r="I70" i="22" s="1"/>
  <c r="K60" i="22"/>
  <c r="K70" i="22" s="1"/>
  <c r="K90" i="22" s="1"/>
  <c r="K91" i="22" s="1"/>
  <c r="I27" i="23"/>
  <c r="I30" i="23" s="1"/>
  <c r="K27" i="23"/>
  <c r="K30" i="23" s="1"/>
  <c r="L63" i="23" s="1"/>
  <c r="L64" i="23" s="1"/>
  <c r="K98" i="27"/>
  <c r="S69" i="20"/>
  <c r="K89" i="27"/>
  <c r="I89" i="27"/>
  <c r="I98" i="27" s="1"/>
  <c r="Q167" i="20"/>
  <c r="S159" i="20"/>
  <c r="U168" i="20"/>
  <c r="E275" i="17"/>
  <c r="E276" i="17" s="1"/>
  <c r="D314" i="17" s="1"/>
  <c r="E154" i="17"/>
  <c r="D306" i="17" s="1"/>
  <c r="N15" i="16"/>
  <c r="N13" i="16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R137" i="15"/>
  <c r="D16" i="2"/>
  <c r="D15" i="2"/>
  <c r="AD11" i="2"/>
  <c r="AC11" i="2"/>
  <c r="Y12" i="2"/>
  <c r="Z12" i="2"/>
  <c r="AA12" i="2"/>
  <c r="AB12" i="2"/>
  <c r="AC12" i="2"/>
  <c r="AD12" i="2"/>
  <c r="H9" i="2"/>
  <c r="H7" i="2" s="1"/>
  <c r="D8" i="2"/>
  <c r="R267" i="15"/>
  <c r="R266" i="15"/>
  <c r="Q266" i="15"/>
  <c r="O266" i="15"/>
  <c r="M266" i="15"/>
  <c r="K266" i="15"/>
  <c r="I266" i="15"/>
  <c r="R265" i="15"/>
  <c r="Q265" i="15"/>
  <c r="O265" i="15"/>
  <c r="M265" i="15"/>
  <c r="K265" i="15"/>
  <c r="I265" i="15"/>
  <c r="R264" i="15"/>
  <c r="Q264" i="15"/>
  <c r="O264" i="15"/>
  <c r="M264" i="15"/>
  <c r="K264" i="15"/>
  <c r="I264" i="15"/>
  <c r="R263" i="15"/>
  <c r="Q263" i="15"/>
  <c r="O263" i="15"/>
  <c r="M263" i="15"/>
  <c r="K263" i="15"/>
  <c r="I263" i="15"/>
  <c r="R262" i="15"/>
  <c r="Q262" i="15"/>
  <c r="O262" i="15"/>
  <c r="M262" i="15"/>
  <c r="K262" i="15"/>
  <c r="I262" i="15"/>
  <c r="R258" i="15"/>
  <c r="R257" i="15"/>
  <c r="Q257" i="15"/>
  <c r="O257" i="15"/>
  <c r="M257" i="15"/>
  <c r="K257" i="15"/>
  <c r="I257" i="15"/>
  <c r="R256" i="15"/>
  <c r="Q256" i="15"/>
  <c r="O256" i="15"/>
  <c r="M256" i="15"/>
  <c r="K256" i="15"/>
  <c r="I256" i="15"/>
  <c r="R255" i="15"/>
  <c r="Q255" i="15"/>
  <c r="O255" i="15"/>
  <c r="M255" i="15"/>
  <c r="K255" i="15"/>
  <c r="I255" i="15"/>
  <c r="R254" i="15"/>
  <c r="Q254" i="15"/>
  <c r="O254" i="15"/>
  <c r="M254" i="15"/>
  <c r="K254" i="15"/>
  <c r="I254" i="15"/>
  <c r="R250" i="15"/>
  <c r="R249" i="15"/>
  <c r="Q249" i="15"/>
  <c r="Q250" i="15" s="1"/>
  <c r="O249" i="15"/>
  <c r="O250" i="15" s="1"/>
  <c r="M249" i="15"/>
  <c r="M250" i="15" s="1"/>
  <c r="K249" i="15"/>
  <c r="K250" i="15" s="1"/>
  <c r="I249" i="15"/>
  <c r="I250" i="15" s="1"/>
  <c r="R245" i="15"/>
  <c r="R244" i="15"/>
  <c r="Q244" i="15"/>
  <c r="O244" i="15"/>
  <c r="O245" i="15" s="1"/>
  <c r="M244" i="15"/>
  <c r="M245" i="15" s="1"/>
  <c r="K244" i="15"/>
  <c r="K245" i="15" s="1"/>
  <c r="I244" i="15"/>
  <c r="I245" i="15" s="1"/>
  <c r="R240" i="15"/>
  <c r="R239" i="15"/>
  <c r="Q239" i="15"/>
  <c r="O239" i="15"/>
  <c r="M239" i="15"/>
  <c r="K239" i="15"/>
  <c r="I239" i="15"/>
  <c r="R238" i="15"/>
  <c r="Q238" i="15"/>
  <c r="O238" i="15"/>
  <c r="M238" i="15"/>
  <c r="K238" i="15"/>
  <c r="I238" i="15"/>
  <c r="R237" i="15"/>
  <c r="Q237" i="15"/>
  <c r="O237" i="15"/>
  <c r="M237" i="15"/>
  <c r="K237" i="15"/>
  <c r="I237" i="15"/>
  <c r="R232" i="15"/>
  <c r="R231" i="15"/>
  <c r="Q231" i="15"/>
  <c r="O231" i="15"/>
  <c r="M231" i="15"/>
  <c r="K231" i="15"/>
  <c r="I231" i="15"/>
  <c r="R230" i="15"/>
  <c r="Q230" i="15"/>
  <c r="O230" i="15"/>
  <c r="M230" i="15"/>
  <c r="K230" i="15"/>
  <c r="I230" i="15"/>
  <c r="R229" i="15"/>
  <c r="Q229" i="15"/>
  <c r="O229" i="15"/>
  <c r="M229" i="15"/>
  <c r="K229" i="15"/>
  <c r="I229" i="15"/>
  <c r="R228" i="15"/>
  <c r="Q228" i="15"/>
  <c r="O228" i="15"/>
  <c r="M228" i="15"/>
  <c r="K228" i="15"/>
  <c r="I228" i="15"/>
  <c r="R227" i="15"/>
  <c r="Q227" i="15"/>
  <c r="O227" i="15"/>
  <c r="M227" i="15"/>
  <c r="K227" i="15"/>
  <c r="I227" i="15"/>
  <c r="R226" i="15"/>
  <c r="Q226" i="15"/>
  <c r="O226" i="15"/>
  <c r="M226" i="15"/>
  <c r="K226" i="15"/>
  <c r="I226" i="15"/>
  <c r="R225" i="15"/>
  <c r="Q225" i="15"/>
  <c r="O225" i="15"/>
  <c r="M225" i="15"/>
  <c r="K225" i="15"/>
  <c r="I225" i="15"/>
  <c r="R224" i="15"/>
  <c r="Q224" i="15"/>
  <c r="O224" i="15"/>
  <c r="M224" i="15"/>
  <c r="K224" i="15"/>
  <c r="I224" i="15"/>
  <c r="R223" i="15"/>
  <c r="Q223" i="15"/>
  <c r="O223" i="15"/>
  <c r="M223" i="15"/>
  <c r="K223" i="15"/>
  <c r="I223" i="15"/>
  <c r="R222" i="15"/>
  <c r="Q222" i="15"/>
  <c r="O222" i="15"/>
  <c r="M222" i="15"/>
  <c r="K222" i="15"/>
  <c r="I222" i="15"/>
  <c r="R221" i="15"/>
  <c r="Q221" i="15"/>
  <c r="O221" i="15"/>
  <c r="M221" i="15"/>
  <c r="K221" i="15"/>
  <c r="I221" i="15"/>
  <c r="R217" i="15"/>
  <c r="R216" i="15"/>
  <c r="Q216" i="15"/>
  <c r="O216" i="15"/>
  <c r="O217" i="15" s="1"/>
  <c r="M216" i="15"/>
  <c r="M217" i="15" s="1"/>
  <c r="K216" i="15"/>
  <c r="K217" i="15" s="1"/>
  <c r="I216" i="15"/>
  <c r="I217" i="15" s="1"/>
  <c r="R212" i="15"/>
  <c r="R211" i="15"/>
  <c r="Q211" i="15"/>
  <c r="O211" i="15"/>
  <c r="M211" i="15"/>
  <c r="K211" i="15"/>
  <c r="I211" i="15"/>
  <c r="R210" i="15"/>
  <c r="Q210" i="15"/>
  <c r="O210" i="15"/>
  <c r="M210" i="15"/>
  <c r="K210" i="15"/>
  <c r="I210" i="15"/>
  <c r="R209" i="15"/>
  <c r="Q209" i="15"/>
  <c r="O209" i="15"/>
  <c r="M209" i="15"/>
  <c r="K209" i="15"/>
  <c r="I209" i="15"/>
  <c r="R208" i="15"/>
  <c r="Q208" i="15"/>
  <c r="O208" i="15"/>
  <c r="M208" i="15"/>
  <c r="K208" i="15"/>
  <c r="I208" i="15"/>
  <c r="R207" i="15"/>
  <c r="Q207" i="15"/>
  <c r="O207" i="15"/>
  <c r="M207" i="15"/>
  <c r="K207" i="15"/>
  <c r="I207" i="15"/>
  <c r="R206" i="15"/>
  <c r="Q206" i="15"/>
  <c r="O206" i="15"/>
  <c r="M206" i="15"/>
  <c r="K206" i="15"/>
  <c r="I206" i="15"/>
  <c r="R205" i="15"/>
  <c r="Q205" i="15"/>
  <c r="O205" i="15"/>
  <c r="M205" i="15"/>
  <c r="K205" i="15"/>
  <c r="I205" i="15"/>
  <c r="R204" i="15"/>
  <c r="Q204" i="15"/>
  <c r="O204" i="15"/>
  <c r="M204" i="15"/>
  <c r="K204" i="15"/>
  <c r="I204" i="15"/>
  <c r="R203" i="15"/>
  <c r="Q203" i="15"/>
  <c r="O203" i="15"/>
  <c r="M203" i="15"/>
  <c r="K203" i="15"/>
  <c r="I203" i="15"/>
  <c r="R202" i="15"/>
  <c r="Q202" i="15"/>
  <c r="O202" i="15"/>
  <c r="M202" i="15"/>
  <c r="K202" i="15"/>
  <c r="I202" i="15"/>
  <c r="R198" i="15"/>
  <c r="R197" i="15"/>
  <c r="Q197" i="15"/>
  <c r="O197" i="15"/>
  <c r="M197" i="15"/>
  <c r="K197" i="15"/>
  <c r="I197" i="15"/>
  <c r="R196" i="15"/>
  <c r="Q196" i="15"/>
  <c r="O196" i="15"/>
  <c r="M196" i="15"/>
  <c r="K196" i="15"/>
  <c r="I196" i="15"/>
  <c r="R195" i="15"/>
  <c r="Q195" i="15"/>
  <c r="O195" i="15"/>
  <c r="M195" i="15"/>
  <c r="K195" i="15"/>
  <c r="I195" i="15"/>
  <c r="R194" i="15"/>
  <c r="Q194" i="15"/>
  <c r="O194" i="15"/>
  <c r="M194" i="15"/>
  <c r="K194" i="15"/>
  <c r="I194" i="15"/>
  <c r="R193" i="15"/>
  <c r="Q193" i="15"/>
  <c r="O193" i="15"/>
  <c r="M193" i="15"/>
  <c r="K193" i="15"/>
  <c r="I193" i="15"/>
  <c r="R192" i="15"/>
  <c r="Q192" i="15"/>
  <c r="O192" i="15"/>
  <c r="M192" i="15"/>
  <c r="K192" i="15"/>
  <c r="I192" i="15"/>
  <c r="R191" i="15"/>
  <c r="Q191" i="15"/>
  <c r="O191" i="15"/>
  <c r="M191" i="15"/>
  <c r="K191" i="15"/>
  <c r="I191" i="15"/>
  <c r="R190" i="15"/>
  <c r="Q190" i="15"/>
  <c r="O190" i="15"/>
  <c r="M190" i="15"/>
  <c r="K190" i="15"/>
  <c r="I190" i="15"/>
  <c r="R189" i="15"/>
  <c r="Q189" i="15"/>
  <c r="O189" i="15"/>
  <c r="M189" i="15"/>
  <c r="K189" i="15"/>
  <c r="I189" i="15"/>
  <c r="R188" i="15"/>
  <c r="Q188" i="15"/>
  <c r="O188" i="15"/>
  <c r="M188" i="15"/>
  <c r="K188" i="15"/>
  <c r="I188" i="15"/>
  <c r="R187" i="15"/>
  <c r="Q187" i="15"/>
  <c r="O187" i="15"/>
  <c r="M187" i="15"/>
  <c r="K187" i="15"/>
  <c r="I187" i="15"/>
  <c r="R186" i="15"/>
  <c r="Q186" i="15"/>
  <c r="O186" i="15"/>
  <c r="M186" i="15"/>
  <c r="K186" i="15"/>
  <c r="I186" i="15"/>
  <c r="R185" i="15"/>
  <c r="Q185" i="15"/>
  <c r="O185" i="15"/>
  <c r="M185" i="15"/>
  <c r="K185" i="15"/>
  <c r="I185" i="15"/>
  <c r="R184" i="15"/>
  <c r="Q184" i="15"/>
  <c r="O184" i="15"/>
  <c r="M184" i="15"/>
  <c r="K184" i="15"/>
  <c r="I184" i="15"/>
  <c r="R183" i="15"/>
  <c r="Q183" i="15"/>
  <c r="O183" i="15"/>
  <c r="M183" i="15"/>
  <c r="K183" i="15"/>
  <c r="I183" i="15"/>
  <c r="R182" i="15"/>
  <c r="Q182" i="15"/>
  <c r="O182" i="15"/>
  <c r="M182" i="15"/>
  <c r="K182" i="15"/>
  <c r="I182" i="15"/>
  <c r="R181" i="15"/>
  <c r="Q181" i="15"/>
  <c r="O181" i="15"/>
  <c r="M181" i="15"/>
  <c r="K181" i="15"/>
  <c r="I181" i="15"/>
  <c r="R180" i="15"/>
  <c r="Q180" i="15"/>
  <c r="O180" i="15"/>
  <c r="M180" i="15"/>
  <c r="K180" i="15"/>
  <c r="I180" i="15"/>
  <c r="R179" i="15"/>
  <c r="Q179" i="15"/>
  <c r="O179" i="15"/>
  <c r="M179" i="15"/>
  <c r="K179" i="15"/>
  <c r="I179" i="15"/>
  <c r="R178" i="15"/>
  <c r="Q178" i="15"/>
  <c r="O178" i="15"/>
  <c r="M178" i="15"/>
  <c r="K178" i="15"/>
  <c r="I178" i="15"/>
  <c r="R177" i="15"/>
  <c r="Q177" i="15"/>
  <c r="O177" i="15"/>
  <c r="M177" i="15"/>
  <c r="K177" i="15"/>
  <c r="I177" i="15"/>
  <c r="R176" i="15"/>
  <c r="Q176" i="15"/>
  <c r="O176" i="15"/>
  <c r="M176" i="15"/>
  <c r="K176" i="15"/>
  <c r="I176" i="15"/>
  <c r="R175" i="15"/>
  <c r="Q175" i="15"/>
  <c r="O175" i="15"/>
  <c r="M175" i="15"/>
  <c r="K175" i="15"/>
  <c r="I175" i="15"/>
  <c r="R174" i="15"/>
  <c r="Q174" i="15"/>
  <c r="O174" i="15"/>
  <c r="M174" i="15"/>
  <c r="K174" i="15"/>
  <c r="I174" i="15"/>
  <c r="R173" i="15"/>
  <c r="Q173" i="15"/>
  <c r="O173" i="15"/>
  <c r="M173" i="15"/>
  <c r="K173" i="15"/>
  <c r="I173" i="15"/>
  <c r="R172" i="15"/>
  <c r="Q172" i="15"/>
  <c r="O172" i="15"/>
  <c r="M172" i="15"/>
  <c r="K172" i="15"/>
  <c r="I172" i="15"/>
  <c r="R167" i="15"/>
  <c r="R166" i="15"/>
  <c r="Q166" i="15"/>
  <c r="O166" i="15"/>
  <c r="M166" i="15"/>
  <c r="K166" i="15"/>
  <c r="I166" i="15"/>
  <c r="R165" i="15"/>
  <c r="Q165" i="15"/>
  <c r="O165" i="15"/>
  <c r="M165" i="15"/>
  <c r="K165" i="15"/>
  <c r="I165" i="15"/>
  <c r="R164" i="15"/>
  <c r="Q164" i="15"/>
  <c r="O164" i="15"/>
  <c r="M164" i="15"/>
  <c r="K164" i="15"/>
  <c r="I164" i="15"/>
  <c r="R163" i="15"/>
  <c r="Q163" i="15"/>
  <c r="O163" i="15"/>
  <c r="M163" i="15"/>
  <c r="K163" i="15"/>
  <c r="I163" i="15"/>
  <c r="R162" i="15"/>
  <c r="Q162" i="15"/>
  <c r="O162" i="15"/>
  <c r="M162" i="15"/>
  <c r="K162" i="15"/>
  <c r="I162" i="15"/>
  <c r="R161" i="15"/>
  <c r="Q161" i="15"/>
  <c r="O161" i="15"/>
  <c r="M161" i="15"/>
  <c r="K161" i="15"/>
  <c r="I161" i="15"/>
  <c r="R160" i="15"/>
  <c r="Q160" i="15"/>
  <c r="O160" i="15"/>
  <c r="M160" i="15"/>
  <c r="K160" i="15"/>
  <c r="I160" i="15"/>
  <c r="R159" i="15"/>
  <c r="Q159" i="15"/>
  <c r="O159" i="15"/>
  <c r="M159" i="15"/>
  <c r="K159" i="15"/>
  <c r="I159" i="15"/>
  <c r="R158" i="15"/>
  <c r="Q158" i="15"/>
  <c r="O158" i="15"/>
  <c r="M158" i="15"/>
  <c r="K158" i="15"/>
  <c r="I158" i="15"/>
  <c r="R157" i="15"/>
  <c r="Q157" i="15"/>
  <c r="O157" i="15"/>
  <c r="M157" i="15"/>
  <c r="K157" i="15"/>
  <c r="I157" i="15"/>
  <c r="R156" i="15"/>
  <c r="Q156" i="15"/>
  <c r="O156" i="15"/>
  <c r="M156" i="15"/>
  <c r="K156" i="15"/>
  <c r="I156" i="15"/>
  <c r="R155" i="15"/>
  <c r="Q155" i="15"/>
  <c r="O155" i="15"/>
  <c r="M155" i="15"/>
  <c r="K155" i="15"/>
  <c r="I155" i="15"/>
  <c r="R154" i="15"/>
  <c r="Q154" i="15"/>
  <c r="O154" i="15"/>
  <c r="M154" i="15"/>
  <c r="K154" i="15"/>
  <c r="I154" i="15"/>
  <c r="R153" i="15"/>
  <c r="Q153" i="15"/>
  <c r="O153" i="15"/>
  <c r="M153" i="15"/>
  <c r="K153" i="15"/>
  <c r="I153" i="15"/>
  <c r="R152" i="15"/>
  <c r="Q152" i="15"/>
  <c r="O152" i="15"/>
  <c r="M152" i="15"/>
  <c r="K152" i="15"/>
  <c r="I152" i="15"/>
  <c r="R151" i="15"/>
  <c r="Q151" i="15"/>
  <c r="O151" i="15"/>
  <c r="M151" i="15"/>
  <c r="K151" i="15"/>
  <c r="I151" i="15"/>
  <c r="R150" i="15"/>
  <c r="Q150" i="15"/>
  <c r="O150" i="15"/>
  <c r="M150" i="15"/>
  <c r="K150" i="15"/>
  <c r="I150" i="15"/>
  <c r="R149" i="15"/>
  <c r="Q149" i="15"/>
  <c r="O149" i="15"/>
  <c r="M149" i="15"/>
  <c r="K149" i="15"/>
  <c r="I149" i="15"/>
  <c r="R148" i="15"/>
  <c r="Q148" i="15"/>
  <c r="O148" i="15"/>
  <c r="M148" i="15"/>
  <c r="K148" i="15"/>
  <c r="I148" i="15"/>
  <c r="R147" i="15"/>
  <c r="Q147" i="15"/>
  <c r="O147" i="15"/>
  <c r="M147" i="15"/>
  <c r="K147" i="15"/>
  <c r="I147" i="15"/>
  <c r="R146" i="15"/>
  <c r="Q146" i="15"/>
  <c r="O146" i="15"/>
  <c r="M146" i="15"/>
  <c r="K146" i="15"/>
  <c r="I146" i="15"/>
  <c r="R145" i="15"/>
  <c r="Q145" i="15"/>
  <c r="O145" i="15"/>
  <c r="M145" i="15"/>
  <c r="K145" i="15"/>
  <c r="I145" i="15"/>
  <c r="R144" i="15"/>
  <c r="Q144" i="15"/>
  <c r="O144" i="15"/>
  <c r="M144" i="15"/>
  <c r="K144" i="15"/>
  <c r="I144" i="15"/>
  <c r="R143" i="15"/>
  <c r="Q143" i="15"/>
  <c r="O143" i="15"/>
  <c r="M143" i="15"/>
  <c r="K143" i="15"/>
  <c r="I143" i="15"/>
  <c r="R142" i="15"/>
  <c r="Q142" i="15"/>
  <c r="O142" i="15"/>
  <c r="M142" i="15"/>
  <c r="K142" i="15"/>
  <c r="I142" i="15"/>
  <c r="R141" i="15"/>
  <c r="Q141" i="15"/>
  <c r="O141" i="15"/>
  <c r="M141" i="15"/>
  <c r="K141" i="15"/>
  <c r="I141" i="15"/>
  <c r="R140" i="15"/>
  <c r="Q140" i="15"/>
  <c r="O140" i="15"/>
  <c r="M140" i="15"/>
  <c r="K140" i="15"/>
  <c r="I140" i="15"/>
  <c r="R139" i="15"/>
  <c r="Q139" i="15"/>
  <c r="O139" i="15"/>
  <c r="M139" i="15"/>
  <c r="K139" i="15"/>
  <c r="I139" i="15"/>
  <c r="R138" i="15"/>
  <c r="Q138" i="15"/>
  <c r="O138" i="15"/>
  <c r="M138" i="15"/>
  <c r="K138" i="15"/>
  <c r="I138" i="15"/>
  <c r="Q137" i="15"/>
  <c r="O137" i="15"/>
  <c r="M137" i="15"/>
  <c r="K137" i="15"/>
  <c r="I137" i="15"/>
  <c r="R132" i="15"/>
  <c r="R131" i="15"/>
  <c r="Q131" i="15"/>
  <c r="O131" i="15"/>
  <c r="M131" i="15"/>
  <c r="K131" i="15"/>
  <c r="I131" i="15"/>
  <c r="R130" i="15"/>
  <c r="Q130" i="15"/>
  <c r="O130" i="15"/>
  <c r="M130" i="15"/>
  <c r="K130" i="15"/>
  <c r="I130" i="15"/>
  <c r="R129" i="15"/>
  <c r="Q129" i="15"/>
  <c r="O129" i="15"/>
  <c r="M129" i="15"/>
  <c r="K129" i="15"/>
  <c r="I129" i="15"/>
  <c r="R128" i="15"/>
  <c r="Q128" i="15"/>
  <c r="O128" i="15"/>
  <c r="M128" i="15"/>
  <c r="K128" i="15"/>
  <c r="I128" i="15"/>
  <c r="R127" i="15"/>
  <c r="Q127" i="15"/>
  <c r="O127" i="15"/>
  <c r="M127" i="15"/>
  <c r="K127" i="15"/>
  <c r="I127" i="15"/>
  <c r="R126" i="15"/>
  <c r="Q126" i="15"/>
  <c r="O126" i="15"/>
  <c r="M126" i="15"/>
  <c r="K126" i="15"/>
  <c r="I126" i="15"/>
  <c r="R125" i="15"/>
  <c r="Q125" i="15"/>
  <c r="O125" i="15"/>
  <c r="M125" i="15"/>
  <c r="K125" i="15"/>
  <c r="I125" i="15"/>
  <c r="R124" i="15"/>
  <c r="Q124" i="15"/>
  <c r="O124" i="15"/>
  <c r="M124" i="15"/>
  <c r="K124" i="15"/>
  <c r="I124" i="15"/>
  <c r="R123" i="15"/>
  <c r="Q123" i="15"/>
  <c r="O123" i="15"/>
  <c r="M123" i="15"/>
  <c r="K123" i="15"/>
  <c r="I123" i="15"/>
  <c r="R122" i="15"/>
  <c r="Q122" i="15"/>
  <c r="O122" i="15"/>
  <c r="M122" i="15"/>
  <c r="K122" i="15"/>
  <c r="I122" i="15"/>
  <c r="R121" i="15"/>
  <c r="Q121" i="15"/>
  <c r="O121" i="15"/>
  <c r="M121" i="15"/>
  <c r="K121" i="15"/>
  <c r="I121" i="15"/>
  <c r="R120" i="15"/>
  <c r="Q120" i="15"/>
  <c r="O120" i="15"/>
  <c r="M120" i="15"/>
  <c r="K120" i="15"/>
  <c r="I120" i="15"/>
  <c r="R119" i="15"/>
  <c r="Q119" i="15"/>
  <c r="O119" i="15"/>
  <c r="M119" i="15"/>
  <c r="K119" i="15"/>
  <c r="I119" i="15"/>
  <c r="Q118" i="15"/>
  <c r="N118" i="15"/>
  <c r="R118" i="15" s="1"/>
  <c r="M118" i="15"/>
  <c r="K118" i="15"/>
  <c r="I118" i="15"/>
  <c r="R117" i="15"/>
  <c r="Q117" i="15"/>
  <c r="O117" i="15"/>
  <c r="M117" i="15"/>
  <c r="K117" i="15"/>
  <c r="I117" i="15"/>
  <c r="R116" i="15"/>
  <c r="Q116" i="15"/>
  <c r="O116" i="15"/>
  <c r="M116" i="15"/>
  <c r="K116" i="15"/>
  <c r="I116" i="15"/>
  <c r="R115" i="15"/>
  <c r="Q115" i="15"/>
  <c r="O115" i="15"/>
  <c r="M115" i="15"/>
  <c r="K115" i="15"/>
  <c r="I115" i="15"/>
  <c r="R114" i="15"/>
  <c r="Q114" i="15"/>
  <c r="O114" i="15"/>
  <c r="M114" i="15"/>
  <c r="K114" i="15"/>
  <c r="I114" i="15"/>
  <c r="R113" i="15"/>
  <c r="Q113" i="15"/>
  <c r="O113" i="15"/>
  <c r="M113" i="15"/>
  <c r="K113" i="15"/>
  <c r="I113" i="15"/>
  <c r="R112" i="15"/>
  <c r="Q112" i="15"/>
  <c r="O112" i="15"/>
  <c r="M112" i="15"/>
  <c r="K112" i="15"/>
  <c r="I112" i="15"/>
  <c r="R111" i="15"/>
  <c r="Q111" i="15"/>
  <c r="O111" i="15"/>
  <c r="M111" i="15"/>
  <c r="K111" i="15"/>
  <c r="I111" i="15"/>
  <c r="Q110" i="15"/>
  <c r="N110" i="15"/>
  <c r="O110" i="15" s="1"/>
  <c r="M110" i="15"/>
  <c r="K110" i="15"/>
  <c r="I110" i="15"/>
  <c r="Q109" i="15"/>
  <c r="N109" i="15"/>
  <c r="O109" i="15" s="1"/>
  <c r="M109" i="15"/>
  <c r="K109" i="15"/>
  <c r="I109" i="15"/>
  <c r="R108" i="15"/>
  <c r="Q108" i="15"/>
  <c r="O108" i="15"/>
  <c r="M108" i="15"/>
  <c r="K108" i="15"/>
  <c r="I108" i="15"/>
  <c r="R107" i="15"/>
  <c r="Q107" i="15"/>
  <c r="O107" i="15"/>
  <c r="M107" i="15"/>
  <c r="K107" i="15"/>
  <c r="I107" i="15"/>
  <c r="R106" i="15"/>
  <c r="Q106" i="15"/>
  <c r="O106" i="15"/>
  <c r="M106" i="15"/>
  <c r="K106" i="15"/>
  <c r="I106" i="15"/>
  <c r="R105" i="15"/>
  <c r="Q105" i="15"/>
  <c r="O105" i="15"/>
  <c r="M105" i="15"/>
  <c r="K105" i="15"/>
  <c r="I105" i="15"/>
  <c r="R104" i="15"/>
  <c r="Q104" i="15"/>
  <c r="O104" i="15"/>
  <c r="M104" i="15"/>
  <c r="K104" i="15"/>
  <c r="I104" i="15"/>
  <c r="R102" i="15"/>
  <c r="Q102" i="15"/>
  <c r="O102" i="15"/>
  <c r="M102" i="15"/>
  <c r="K102" i="15"/>
  <c r="I102" i="15"/>
  <c r="R101" i="15"/>
  <c r="Q101" i="15"/>
  <c r="O101" i="15"/>
  <c r="M101" i="15"/>
  <c r="K101" i="15"/>
  <c r="I101" i="15"/>
  <c r="R100" i="15"/>
  <c r="Q100" i="15"/>
  <c r="O100" i="15"/>
  <c r="M100" i="15"/>
  <c r="K100" i="15"/>
  <c r="I100" i="15"/>
  <c r="R99" i="15"/>
  <c r="Q99" i="15"/>
  <c r="O99" i="15"/>
  <c r="M99" i="15"/>
  <c r="K99" i="15"/>
  <c r="I99" i="15"/>
  <c r="R98" i="15"/>
  <c r="Q98" i="15"/>
  <c r="O98" i="15"/>
  <c r="M98" i="15"/>
  <c r="K98" i="15"/>
  <c r="I98" i="15"/>
  <c r="R97" i="15"/>
  <c r="Q97" i="15"/>
  <c r="O97" i="15"/>
  <c r="M97" i="15"/>
  <c r="K97" i="15"/>
  <c r="I97" i="15"/>
  <c r="R96" i="15"/>
  <c r="Q96" i="15"/>
  <c r="O96" i="15"/>
  <c r="M96" i="15"/>
  <c r="K96" i="15"/>
  <c r="I96" i="15"/>
  <c r="R95" i="15"/>
  <c r="Q95" i="15"/>
  <c r="O95" i="15"/>
  <c r="M95" i="15"/>
  <c r="K95" i="15"/>
  <c r="I95" i="15"/>
  <c r="R94" i="15"/>
  <c r="Q94" i="15"/>
  <c r="O94" i="15"/>
  <c r="M94" i="15"/>
  <c r="K94" i="15"/>
  <c r="I94" i="15"/>
  <c r="R93" i="15"/>
  <c r="Q93" i="15"/>
  <c r="O93" i="15"/>
  <c r="M93" i="15"/>
  <c r="K93" i="15"/>
  <c r="I93" i="15"/>
  <c r="R92" i="15"/>
  <c r="Q92" i="15"/>
  <c r="O92" i="15"/>
  <c r="M92" i="15"/>
  <c r="K92" i="15"/>
  <c r="I92" i="15"/>
  <c r="R91" i="15"/>
  <c r="Q91" i="15"/>
  <c r="O91" i="15"/>
  <c r="M91" i="15"/>
  <c r="K91" i="15"/>
  <c r="I91" i="15"/>
  <c r="R90" i="15"/>
  <c r="Q90" i="15"/>
  <c r="O90" i="15"/>
  <c r="M90" i="15"/>
  <c r="K90" i="15"/>
  <c r="I90" i="15"/>
  <c r="R89" i="15"/>
  <c r="Q89" i="15"/>
  <c r="O89" i="15"/>
  <c r="M89" i="15"/>
  <c r="K89" i="15"/>
  <c r="I89" i="15"/>
  <c r="R88" i="15"/>
  <c r="Q88" i="15"/>
  <c r="O88" i="15"/>
  <c r="M88" i="15"/>
  <c r="K88" i="15"/>
  <c r="I88" i="15"/>
  <c r="R87" i="15"/>
  <c r="Q87" i="15"/>
  <c r="O87" i="15"/>
  <c r="M87" i="15"/>
  <c r="K87" i="15"/>
  <c r="I87" i="15"/>
  <c r="R86" i="15"/>
  <c r="Q86" i="15"/>
  <c r="O86" i="15"/>
  <c r="M86" i="15"/>
  <c r="K86" i="15"/>
  <c r="I86" i="15"/>
  <c r="R85" i="15"/>
  <c r="Q85" i="15"/>
  <c r="O85" i="15"/>
  <c r="M85" i="15"/>
  <c r="K85" i="15"/>
  <c r="I85" i="15"/>
  <c r="R84" i="15"/>
  <c r="Q84" i="15"/>
  <c r="O84" i="15"/>
  <c r="M84" i="15"/>
  <c r="K84" i="15"/>
  <c r="I84" i="15"/>
  <c r="R83" i="15"/>
  <c r="Q83" i="15"/>
  <c r="O83" i="15"/>
  <c r="M83" i="15"/>
  <c r="K83" i="15"/>
  <c r="I83" i="15"/>
  <c r="R82" i="15"/>
  <c r="Q82" i="15"/>
  <c r="O82" i="15"/>
  <c r="M82" i="15"/>
  <c r="K82" i="15"/>
  <c r="I82" i="15"/>
  <c r="R81" i="15"/>
  <c r="Q81" i="15"/>
  <c r="O81" i="15"/>
  <c r="M81" i="15"/>
  <c r="K81" i="15"/>
  <c r="I81" i="15"/>
  <c r="R80" i="15"/>
  <c r="Q80" i="15"/>
  <c r="O80" i="15"/>
  <c r="M80" i="15"/>
  <c r="K80" i="15"/>
  <c r="I80" i="15"/>
  <c r="R79" i="15"/>
  <c r="Q79" i="15"/>
  <c r="O79" i="15"/>
  <c r="M79" i="15"/>
  <c r="K79" i="15"/>
  <c r="I79" i="15"/>
  <c r="R78" i="15"/>
  <c r="Q78" i="15"/>
  <c r="O78" i="15"/>
  <c r="M78" i="15"/>
  <c r="K78" i="15"/>
  <c r="I78" i="15"/>
  <c r="R77" i="15"/>
  <c r="Q77" i="15"/>
  <c r="O77" i="15"/>
  <c r="M77" i="15"/>
  <c r="K77" i="15"/>
  <c r="I77" i="15"/>
  <c r="R76" i="15"/>
  <c r="Q76" i="15"/>
  <c r="O76" i="15"/>
  <c r="M76" i="15"/>
  <c r="K76" i="15"/>
  <c r="I76" i="15"/>
  <c r="R75" i="15"/>
  <c r="Q75" i="15"/>
  <c r="O75" i="15"/>
  <c r="M75" i="15"/>
  <c r="K75" i="15"/>
  <c r="I75" i="15"/>
  <c r="R74" i="15"/>
  <c r="Q74" i="15"/>
  <c r="O74" i="15"/>
  <c r="M74" i="15"/>
  <c r="K74" i="15"/>
  <c r="I74" i="15"/>
  <c r="R73" i="15"/>
  <c r="Q73" i="15"/>
  <c r="O73" i="15"/>
  <c r="M73" i="15"/>
  <c r="K73" i="15"/>
  <c r="I73" i="15"/>
  <c r="R72" i="15"/>
  <c r="Q72" i="15"/>
  <c r="O72" i="15"/>
  <c r="M72" i="15"/>
  <c r="K72" i="15"/>
  <c r="I72" i="15"/>
  <c r="R71" i="15"/>
  <c r="Q71" i="15"/>
  <c r="O71" i="15"/>
  <c r="M71" i="15"/>
  <c r="K71" i="15"/>
  <c r="I71" i="15"/>
  <c r="R70" i="15"/>
  <c r="Q70" i="15"/>
  <c r="O70" i="15"/>
  <c r="M70" i="15"/>
  <c r="K70" i="15"/>
  <c r="I70" i="15"/>
  <c r="R69" i="15"/>
  <c r="Q69" i="15"/>
  <c r="O69" i="15"/>
  <c r="M69" i="15"/>
  <c r="K69" i="15"/>
  <c r="I69" i="15"/>
  <c r="R68" i="15"/>
  <c r="Q68" i="15"/>
  <c r="O68" i="15"/>
  <c r="M68" i="15"/>
  <c r="K68" i="15"/>
  <c r="I68" i="15"/>
  <c r="R67" i="15"/>
  <c r="Q67" i="15"/>
  <c r="O67" i="15"/>
  <c r="M67" i="15"/>
  <c r="K67" i="15"/>
  <c r="I67" i="15"/>
  <c r="R66" i="15"/>
  <c r="Q66" i="15"/>
  <c r="O66" i="15"/>
  <c r="M66" i="15"/>
  <c r="K66" i="15"/>
  <c r="I66" i="15"/>
  <c r="R65" i="15"/>
  <c r="Q65" i="15"/>
  <c r="O65" i="15"/>
  <c r="M65" i="15"/>
  <c r="K65" i="15"/>
  <c r="I65" i="15"/>
  <c r="R64" i="15"/>
  <c r="Q64" i="15"/>
  <c r="O64" i="15"/>
  <c r="M64" i="15"/>
  <c r="K64" i="15"/>
  <c r="I64" i="15"/>
  <c r="R63" i="15"/>
  <c r="Q63" i="15"/>
  <c r="O63" i="15"/>
  <c r="M63" i="15"/>
  <c r="K63" i="15"/>
  <c r="I63" i="15"/>
  <c r="R62" i="15"/>
  <c r="Q62" i="15"/>
  <c r="O62" i="15"/>
  <c r="M62" i="15"/>
  <c r="K62" i="15"/>
  <c r="I62" i="15"/>
  <c r="R61" i="15"/>
  <c r="Q61" i="15"/>
  <c r="O61" i="15"/>
  <c r="M61" i="15"/>
  <c r="K61" i="15"/>
  <c r="I61" i="15"/>
  <c r="R60" i="15"/>
  <c r="Q60" i="15"/>
  <c r="O60" i="15"/>
  <c r="M60" i="15"/>
  <c r="K60" i="15"/>
  <c r="I60" i="15"/>
  <c r="R59" i="15"/>
  <c r="Q59" i="15"/>
  <c r="O59" i="15"/>
  <c r="M59" i="15"/>
  <c r="K59" i="15"/>
  <c r="I59" i="15"/>
  <c r="R58" i="15"/>
  <c r="Q58" i="15"/>
  <c r="O58" i="15"/>
  <c r="M58" i="15"/>
  <c r="K58" i="15"/>
  <c r="I58" i="15"/>
  <c r="R57" i="15"/>
  <c r="Q57" i="15"/>
  <c r="O57" i="15"/>
  <c r="M57" i="15"/>
  <c r="K57" i="15"/>
  <c r="I57" i="15"/>
  <c r="R56" i="15"/>
  <c r="Q56" i="15"/>
  <c r="O56" i="15"/>
  <c r="M56" i="15"/>
  <c r="K56" i="15"/>
  <c r="I56" i="15"/>
  <c r="R55" i="15"/>
  <c r="Q55" i="15"/>
  <c r="O55" i="15"/>
  <c r="M55" i="15"/>
  <c r="K55" i="15"/>
  <c r="I55" i="15"/>
  <c r="R54" i="15"/>
  <c r="Q54" i="15"/>
  <c r="O54" i="15"/>
  <c r="M54" i="15"/>
  <c r="K54" i="15"/>
  <c r="I54" i="15"/>
  <c r="R53" i="15"/>
  <c r="Q53" i="15"/>
  <c r="O53" i="15"/>
  <c r="M53" i="15"/>
  <c r="K53" i="15"/>
  <c r="I53" i="15"/>
  <c r="R52" i="15"/>
  <c r="Q52" i="15"/>
  <c r="O52" i="15"/>
  <c r="M52" i="15"/>
  <c r="K52" i="15"/>
  <c r="I52" i="15"/>
  <c r="R51" i="15"/>
  <c r="Q51" i="15"/>
  <c r="O51" i="15"/>
  <c r="M51" i="15"/>
  <c r="K51" i="15"/>
  <c r="I51" i="15"/>
  <c r="R50" i="15"/>
  <c r="Q50" i="15"/>
  <c r="O50" i="15"/>
  <c r="M50" i="15"/>
  <c r="K50" i="15"/>
  <c r="I50" i="15"/>
  <c r="R49" i="15"/>
  <c r="Q49" i="15"/>
  <c r="O49" i="15"/>
  <c r="M49" i="15"/>
  <c r="K49" i="15"/>
  <c r="I49" i="15"/>
  <c r="R48" i="15"/>
  <c r="Q48" i="15"/>
  <c r="O48" i="15"/>
  <c r="M48" i="15"/>
  <c r="K48" i="15"/>
  <c r="I48" i="15"/>
  <c r="R47" i="15"/>
  <c r="Q47" i="15"/>
  <c r="O47" i="15"/>
  <c r="M47" i="15"/>
  <c r="K47" i="15"/>
  <c r="I47" i="15"/>
  <c r="R46" i="15"/>
  <c r="Q46" i="15"/>
  <c r="O46" i="15"/>
  <c r="M46" i="15"/>
  <c r="K46" i="15"/>
  <c r="I46" i="15"/>
  <c r="R45" i="15"/>
  <c r="Q45" i="15"/>
  <c r="O45" i="15"/>
  <c r="M45" i="15"/>
  <c r="K45" i="15"/>
  <c r="I45" i="15"/>
  <c r="R44" i="15"/>
  <c r="Q44" i="15"/>
  <c r="O44" i="15"/>
  <c r="M44" i="15"/>
  <c r="K44" i="15"/>
  <c r="I44" i="15"/>
  <c r="I39" i="15"/>
  <c r="R38" i="15"/>
  <c r="Q38" i="15"/>
  <c r="O38" i="15"/>
  <c r="M38" i="15"/>
  <c r="K38" i="15"/>
  <c r="R37" i="15"/>
  <c r="Q37" i="15"/>
  <c r="O37" i="15"/>
  <c r="M37" i="15"/>
  <c r="K37" i="15"/>
  <c r="R36" i="15"/>
  <c r="Q36" i="15"/>
  <c r="O36" i="15"/>
  <c r="M36" i="15"/>
  <c r="K36" i="15"/>
  <c r="R35" i="15"/>
  <c r="Q35" i="15"/>
  <c r="O35" i="15"/>
  <c r="M35" i="15"/>
  <c r="K35" i="15"/>
  <c r="R34" i="15"/>
  <c r="Q34" i="15"/>
  <c r="O34" i="15"/>
  <c r="M34" i="15"/>
  <c r="K34" i="15"/>
  <c r="R33" i="15"/>
  <c r="Q33" i="15"/>
  <c r="O33" i="15"/>
  <c r="M33" i="15"/>
  <c r="K33" i="15"/>
  <c r="R32" i="15"/>
  <c r="Q32" i="15"/>
  <c r="O32" i="15"/>
  <c r="M32" i="15"/>
  <c r="K32" i="15"/>
  <c r="R31" i="15"/>
  <c r="Q31" i="15"/>
  <c r="O31" i="15"/>
  <c r="M31" i="15"/>
  <c r="K31" i="15"/>
  <c r="R30" i="15"/>
  <c r="Q30" i="15"/>
  <c r="O30" i="15"/>
  <c r="M30" i="15"/>
  <c r="K30" i="15"/>
  <c r="R29" i="15"/>
  <c r="Q29" i="15"/>
  <c r="O29" i="15"/>
  <c r="M29" i="15"/>
  <c r="K29" i="15"/>
  <c r="R28" i="15"/>
  <c r="Q28" i="15"/>
  <c r="O28" i="15"/>
  <c r="M28" i="15"/>
  <c r="K28" i="15"/>
  <c r="R27" i="15"/>
  <c r="Q27" i="15"/>
  <c r="O27" i="15"/>
  <c r="M27" i="15"/>
  <c r="K27" i="15"/>
  <c r="R26" i="15"/>
  <c r="Q26" i="15"/>
  <c r="O26" i="15"/>
  <c r="M26" i="15"/>
  <c r="K26" i="15"/>
  <c r="R25" i="15"/>
  <c r="Q25" i="15"/>
  <c r="O25" i="15"/>
  <c r="M25" i="15"/>
  <c r="K25" i="15"/>
  <c r="R24" i="15"/>
  <c r="Q24" i="15"/>
  <c r="O24" i="15"/>
  <c r="M24" i="15"/>
  <c r="K24" i="15"/>
  <c r="R23" i="15"/>
  <c r="Q23" i="15"/>
  <c r="O23" i="15"/>
  <c r="M23" i="15"/>
  <c r="K23" i="15"/>
  <c r="R22" i="15"/>
  <c r="Q22" i="15"/>
  <c r="O22" i="15"/>
  <c r="M22" i="15"/>
  <c r="K22" i="15"/>
  <c r="R21" i="15"/>
  <c r="Q21" i="15"/>
  <c r="O21" i="15"/>
  <c r="M21" i="15"/>
  <c r="K21" i="15"/>
  <c r="R20" i="15"/>
  <c r="Q20" i="15"/>
  <c r="O20" i="15"/>
  <c r="M20" i="15"/>
  <c r="K20" i="15"/>
  <c r="R19" i="15"/>
  <c r="Q19" i="15"/>
  <c r="O19" i="15"/>
  <c r="M19" i="15"/>
  <c r="K19" i="15"/>
  <c r="R18" i="15"/>
  <c r="Q18" i="15"/>
  <c r="O18" i="15"/>
  <c r="M18" i="15"/>
  <c r="K18" i="15"/>
  <c r="R17" i="15"/>
  <c r="Q17" i="15"/>
  <c r="O17" i="15"/>
  <c r="M17" i="15"/>
  <c r="K17" i="15"/>
  <c r="R16" i="15"/>
  <c r="Q16" i="15"/>
  <c r="O16" i="15"/>
  <c r="M16" i="15"/>
  <c r="K16" i="15"/>
  <c r="R15" i="15"/>
  <c r="Q15" i="15"/>
  <c r="O15" i="15"/>
  <c r="M15" i="15"/>
  <c r="K15" i="15"/>
  <c r="R14" i="15"/>
  <c r="Q14" i="15"/>
  <c r="O14" i="15"/>
  <c r="M14" i="15"/>
  <c r="K14" i="15"/>
  <c r="R13" i="15"/>
  <c r="Q13" i="15"/>
  <c r="O13" i="15"/>
  <c r="M13" i="15"/>
  <c r="K13" i="15"/>
  <c r="R12" i="15"/>
  <c r="Q12" i="15"/>
  <c r="O12" i="15"/>
  <c r="M12" i="15"/>
  <c r="K12" i="15"/>
  <c r="R11" i="15"/>
  <c r="Q11" i="15"/>
  <c r="O11" i="15"/>
  <c r="M11" i="15"/>
  <c r="K11" i="15"/>
  <c r="R10" i="15"/>
  <c r="Q10" i="15"/>
  <c r="O10" i="15"/>
  <c r="M10" i="15"/>
  <c r="K10" i="15"/>
  <c r="R9" i="15"/>
  <c r="Q9" i="15"/>
  <c r="O9" i="15"/>
  <c r="M9" i="15"/>
  <c r="K9" i="15"/>
  <c r="R8" i="15"/>
  <c r="Q8" i="15"/>
  <c r="O8" i="15"/>
  <c r="M8" i="15"/>
  <c r="K8" i="15"/>
  <c r="R7" i="15"/>
  <c r="Q7" i="15"/>
  <c r="O7" i="15"/>
  <c r="M7" i="15"/>
  <c r="K7" i="15"/>
  <c r="R6" i="15"/>
  <c r="Q6" i="15"/>
  <c r="O6" i="15"/>
  <c r="M6" i="15"/>
  <c r="K6" i="15"/>
  <c r="R5" i="15"/>
  <c r="Q5" i="15"/>
  <c r="O5" i="15"/>
  <c r="M5" i="15"/>
  <c r="K5" i="15"/>
  <c r="D34" i="14"/>
  <c r="D24" i="14"/>
  <c r="H24" i="14" s="1"/>
  <c r="L23" i="14"/>
  <c r="J23" i="14"/>
  <c r="H23" i="14"/>
  <c r="F23" i="14"/>
  <c r="L22" i="14"/>
  <c r="J22" i="14"/>
  <c r="H22" i="14"/>
  <c r="F22" i="14"/>
  <c r="M21" i="14"/>
  <c r="L21" i="14"/>
  <c r="J21" i="14"/>
  <c r="H21" i="14"/>
  <c r="F21" i="14"/>
  <c r="D20" i="14"/>
  <c r="F20" i="14" s="1"/>
  <c r="L19" i="14"/>
  <c r="J19" i="14"/>
  <c r="H19" i="14"/>
  <c r="F19" i="14"/>
  <c r="L18" i="14"/>
  <c r="J18" i="14"/>
  <c r="H18" i="14"/>
  <c r="F18" i="14"/>
  <c r="M17" i="14"/>
  <c r="L17" i="14"/>
  <c r="J17" i="14"/>
  <c r="H17" i="14"/>
  <c r="F17" i="14"/>
  <c r="D16" i="14"/>
  <c r="F16" i="14" s="1"/>
  <c r="L15" i="14"/>
  <c r="J15" i="14"/>
  <c r="H15" i="14"/>
  <c r="F15" i="14"/>
  <c r="L14" i="14"/>
  <c r="J14" i="14"/>
  <c r="H14" i="14"/>
  <c r="F14" i="14"/>
  <c r="M13" i="14"/>
  <c r="L13" i="14"/>
  <c r="J13" i="14"/>
  <c r="H13" i="14"/>
  <c r="J16" i="14" s="1"/>
  <c r="F13" i="14"/>
  <c r="D12" i="14"/>
  <c r="J12" i="14" s="1"/>
  <c r="L11" i="14"/>
  <c r="J11" i="14"/>
  <c r="H11" i="14"/>
  <c r="F11" i="14"/>
  <c r="L10" i="14"/>
  <c r="J10" i="14"/>
  <c r="H10" i="14"/>
  <c r="F10" i="14"/>
  <c r="M9" i="14"/>
  <c r="L9" i="14"/>
  <c r="J9" i="14"/>
  <c r="H9" i="14"/>
  <c r="F9" i="14"/>
  <c r="D8" i="14"/>
  <c r="F8" i="14" s="1"/>
  <c r="L7" i="14"/>
  <c r="J7" i="14"/>
  <c r="H7" i="14"/>
  <c r="F7" i="14"/>
  <c r="L6" i="14"/>
  <c r="J6" i="14"/>
  <c r="H6" i="14"/>
  <c r="F6" i="14"/>
  <c r="M5" i="14"/>
  <c r="L5" i="14"/>
  <c r="J5" i="14"/>
  <c r="H5" i="14"/>
  <c r="F5" i="14"/>
  <c r="J8" i="14" l="1"/>
  <c r="L8" i="14"/>
  <c r="S123" i="20"/>
  <c r="W213" i="20"/>
  <c r="U133" i="20"/>
  <c r="AG10" i="24"/>
  <c r="AG15" i="24" s="1"/>
  <c r="AH5" i="24"/>
  <c r="AH9" i="24" s="1"/>
  <c r="E296" i="17"/>
  <c r="X168" i="20"/>
  <c r="T167" i="20"/>
  <c r="S167" i="20"/>
  <c r="Y168" i="20" s="1"/>
  <c r="W133" i="20"/>
  <c r="W277" i="20"/>
  <c r="V213" i="20"/>
  <c r="Q132" i="20"/>
  <c r="K179" i="27"/>
  <c r="K180" i="27" s="1"/>
  <c r="K200" i="27" s="1"/>
  <c r="K201" i="27" s="1"/>
  <c r="K203" i="27" s="1"/>
  <c r="I179" i="27"/>
  <c r="I180" i="27" s="1"/>
  <c r="M142" i="19"/>
  <c r="M143" i="19" s="1"/>
  <c r="V277" i="20"/>
  <c r="X259" i="20"/>
  <c r="S258" i="20"/>
  <c r="Y259" i="20" s="1"/>
  <c r="T258" i="20"/>
  <c r="S132" i="20"/>
  <c r="O142" i="19"/>
  <c r="O143" i="19" s="1"/>
  <c r="N64" i="16"/>
  <c r="M90" i="22"/>
  <c r="M91" i="22" s="1"/>
  <c r="N89" i="22"/>
  <c r="N90" i="22" s="1"/>
  <c r="Q212" i="20"/>
  <c r="S202" i="20"/>
  <c r="V133" i="20"/>
  <c r="L67" i="21"/>
  <c r="L96" i="21" s="1"/>
  <c r="L97" i="21" s="1"/>
  <c r="K67" i="21"/>
  <c r="K97" i="21" s="1"/>
  <c r="K98" i="21" s="1"/>
  <c r="K142" i="19"/>
  <c r="K143" i="19" s="1"/>
  <c r="H8" i="14"/>
  <c r="D317" i="17"/>
  <c r="J320" i="17" s="1"/>
  <c r="M249" i="20"/>
  <c r="M250" i="20" s="1"/>
  <c r="I249" i="20"/>
  <c r="I250" i="20" s="1"/>
  <c r="K249" i="20"/>
  <c r="K250" i="20" s="1"/>
  <c r="Q249" i="20"/>
  <c r="O249" i="20"/>
  <c r="O250" i="20" s="1"/>
  <c r="P140" i="19"/>
  <c r="H20" i="14"/>
  <c r="L16" i="14"/>
  <c r="J20" i="14"/>
  <c r="L20" i="14"/>
  <c r="H16" i="14"/>
  <c r="S194" i="15"/>
  <c r="O118" i="15"/>
  <c r="S118" i="15" s="1"/>
  <c r="R110" i="15"/>
  <c r="O267" i="15"/>
  <c r="R109" i="15"/>
  <c r="S157" i="15"/>
  <c r="S231" i="15"/>
  <c r="S45" i="15"/>
  <c r="S77" i="15"/>
  <c r="S53" i="15"/>
  <c r="S192" i="15"/>
  <c r="S256" i="15"/>
  <c r="S178" i="15"/>
  <c r="S264" i="15"/>
  <c r="S129" i="15"/>
  <c r="S112" i="15"/>
  <c r="S44" i="15"/>
  <c r="S121" i="15"/>
  <c r="S120" i="15"/>
  <c r="S149" i="15"/>
  <c r="S179" i="15"/>
  <c r="S100" i="15"/>
  <c r="S142" i="15"/>
  <c r="S58" i="15"/>
  <c r="S68" i="15"/>
  <c r="S141" i="15"/>
  <c r="S52" i="15"/>
  <c r="S93" i="15"/>
  <c r="M267" i="15"/>
  <c r="S72" i="15"/>
  <c r="S76" i="15"/>
  <c r="S101" i="15"/>
  <c r="S114" i="15"/>
  <c r="S144" i="15"/>
  <c r="S148" i="15"/>
  <c r="S165" i="15"/>
  <c r="S222" i="15"/>
  <c r="S230" i="15"/>
  <c r="S111" i="15"/>
  <c r="S202" i="15"/>
  <c r="S69" i="15"/>
  <c r="S124" i="15"/>
  <c r="S128" i="15"/>
  <c r="S227" i="15"/>
  <c r="S56" i="15"/>
  <c r="S81" i="15"/>
  <c r="S84" i="15"/>
  <c r="S92" i="15"/>
  <c r="S152" i="15"/>
  <c r="S187" i="15"/>
  <c r="S90" i="15"/>
  <c r="S48" i="15"/>
  <c r="S51" i="15"/>
  <c r="S63" i="15"/>
  <c r="S67" i="15"/>
  <c r="S105" i="15"/>
  <c r="S109" i="15"/>
  <c r="S139" i="15"/>
  <c r="S195" i="15"/>
  <c r="S216" i="15"/>
  <c r="K240" i="15"/>
  <c r="I258" i="15"/>
  <c r="S150" i="15"/>
  <c r="S206" i="15"/>
  <c r="S61" i="15"/>
  <c r="S166" i="15"/>
  <c r="S180" i="15"/>
  <c r="S223" i="15"/>
  <c r="S255" i="15"/>
  <c r="S85" i="15"/>
  <c r="S119" i="15"/>
  <c r="S47" i="15"/>
  <c r="S95" i="15"/>
  <c r="S99" i="15"/>
  <c r="S158" i="15"/>
  <c r="S186" i="15"/>
  <c r="S207" i="15"/>
  <c r="K258" i="15"/>
  <c r="I267" i="15"/>
  <c r="K267" i="15"/>
  <c r="S263" i="15"/>
  <c r="Q267" i="15"/>
  <c r="S266" i="15"/>
  <c r="S265" i="15"/>
  <c r="S257" i="15"/>
  <c r="M258" i="15"/>
  <c r="O258" i="15"/>
  <c r="Q258" i="15"/>
  <c r="S249" i="15"/>
  <c r="S250" i="15"/>
  <c r="T250" i="15" s="1"/>
  <c r="S244" i="15"/>
  <c r="Q245" i="15"/>
  <c r="S245" i="15" s="1"/>
  <c r="T245" i="15" s="1"/>
  <c r="I240" i="15"/>
  <c r="S239" i="15"/>
  <c r="S238" i="15"/>
  <c r="Q240" i="15"/>
  <c r="M240" i="15"/>
  <c r="S237" i="15"/>
  <c r="O240" i="15"/>
  <c r="Q232" i="15"/>
  <c r="S226" i="15"/>
  <c r="M232" i="15"/>
  <c r="S225" i="15"/>
  <c r="S229" i="15"/>
  <c r="S224" i="15"/>
  <c r="K232" i="15"/>
  <c r="S228" i="15"/>
  <c r="I232" i="15"/>
  <c r="Q217" i="15"/>
  <c r="T217" i="15" s="1"/>
  <c r="O212" i="15"/>
  <c r="I212" i="15"/>
  <c r="S209" i="15"/>
  <c r="S211" i="15"/>
  <c r="S205" i="15"/>
  <c r="S210" i="15"/>
  <c r="K212" i="15"/>
  <c r="S208" i="15"/>
  <c r="M212" i="15"/>
  <c r="S203" i="15"/>
  <c r="Q212" i="15"/>
  <c r="S197" i="15"/>
  <c r="S196" i="15"/>
  <c r="S193" i="15"/>
  <c r="S182" i="15"/>
  <c r="S191" i="15"/>
  <c r="S181" i="15"/>
  <c r="S185" i="15"/>
  <c r="S190" i="15"/>
  <c r="S184" i="15"/>
  <c r="S189" i="15"/>
  <c r="S188" i="15"/>
  <c r="S183" i="15"/>
  <c r="Q198" i="15"/>
  <c r="S177" i="15"/>
  <c r="K198" i="15"/>
  <c r="S175" i="15"/>
  <c r="S176" i="15"/>
  <c r="I198" i="15"/>
  <c r="S174" i="15"/>
  <c r="S173" i="15"/>
  <c r="M198" i="15"/>
  <c r="O198" i="15"/>
  <c r="S172" i="15"/>
  <c r="S164" i="15"/>
  <c r="S159" i="15"/>
  <c r="S162" i="15"/>
  <c r="S161" i="15"/>
  <c r="S160" i="15"/>
  <c r="S163" i="15"/>
  <c r="S156" i="15"/>
  <c r="S155" i="15"/>
  <c r="S154" i="15"/>
  <c r="S153" i="15"/>
  <c r="S151" i="15"/>
  <c r="S143" i="15"/>
  <c r="K167" i="15"/>
  <c r="S138" i="15"/>
  <c r="S147" i="15"/>
  <c r="Q167" i="15"/>
  <c r="S145" i="15"/>
  <c r="M167" i="15"/>
  <c r="S140" i="15"/>
  <c r="S146" i="15"/>
  <c r="S137" i="15"/>
  <c r="I167" i="15"/>
  <c r="S127" i="15"/>
  <c r="S131" i="15"/>
  <c r="S130" i="15"/>
  <c r="S123" i="15"/>
  <c r="S122" i="15"/>
  <c r="S126" i="15"/>
  <c r="S125" i="15"/>
  <c r="S117" i="15"/>
  <c r="S104" i="15"/>
  <c r="S97" i="15"/>
  <c r="S107" i="15"/>
  <c r="S116" i="15"/>
  <c r="S113" i="15"/>
  <c r="S98" i="15"/>
  <c r="S108" i="15"/>
  <c r="S102" i="15"/>
  <c r="S96" i="15"/>
  <c r="S106" i="15"/>
  <c r="S115" i="15"/>
  <c r="S94" i="15"/>
  <c r="S91" i="15"/>
  <c r="S89" i="15"/>
  <c r="S88" i="15"/>
  <c r="S87" i="15"/>
  <c r="S86" i="15"/>
  <c r="S83" i="15"/>
  <c r="S82" i="15"/>
  <c r="S80" i="15"/>
  <c r="S79" i="15"/>
  <c r="S78" i="15"/>
  <c r="S75" i="15"/>
  <c r="S74" i="15"/>
  <c r="S73" i="15"/>
  <c r="S71" i="15"/>
  <c r="S70" i="15"/>
  <c r="S66" i="15"/>
  <c r="S65" i="15"/>
  <c r="S64" i="15"/>
  <c r="S62" i="15"/>
  <c r="S60" i="15"/>
  <c r="S59" i="15"/>
  <c r="S57" i="15"/>
  <c r="S55" i="15"/>
  <c r="S54" i="15"/>
  <c r="S50" i="15"/>
  <c r="S49" i="15"/>
  <c r="S46" i="15"/>
  <c r="I132" i="15"/>
  <c r="Q132" i="15"/>
  <c r="K132" i="15"/>
  <c r="M132" i="15"/>
  <c r="S38" i="15"/>
  <c r="S30" i="15"/>
  <c r="N21" i="14"/>
  <c r="N17" i="14"/>
  <c r="N13" i="14"/>
  <c r="N9" i="14"/>
  <c r="H25" i="14"/>
  <c r="N5" i="14"/>
  <c r="F25" i="14"/>
  <c r="F32" i="14" s="1"/>
  <c r="F34" i="14" s="1"/>
  <c r="J25" i="14"/>
  <c r="L25" i="14"/>
  <c r="Z32" i="14" s="1"/>
  <c r="Z34" i="14" s="1"/>
  <c r="S27" i="15"/>
  <c r="S15" i="15"/>
  <c r="S7" i="15"/>
  <c r="S35" i="15"/>
  <c r="S12" i="15"/>
  <c r="S23" i="15"/>
  <c r="K39" i="15"/>
  <c r="S31" i="15"/>
  <c r="S6" i="15"/>
  <c r="S19" i="15"/>
  <c r="S36" i="15"/>
  <c r="S9" i="15"/>
  <c r="S11" i="15"/>
  <c r="S33" i="15"/>
  <c r="S26" i="15"/>
  <c r="S18" i="15"/>
  <c r="S21" i="15"/>
  <c r="S24" i="15"/>
  <c r="S32" i="15"/>
  <c r="O39" i="15"/>
  <c r="S20" i="15"/>
  <c r="Q39" i="15"/>
  <c r="S37" i="15"/>
  <c r="S22" i="15"/>
  <c r="S25" i="15"/>
  <c r="S28" i="15"/>
  <c r="M39" i="15"/>
  <c r="S29" i="15"/>
  <c r="S14" i="15"/>
  <c r="S17" i="15"/>
  <c r="S8" i="15"/>
  <c r="S34" i="15"/>
  <c r="S10" i="15"/>
  <c r="S13" i="15"/>
  <c r="S16" i="15"/>
  <c r="AB11" i="2"/>
  <c r="AA11" i="2"/>
  <c r="D17" i="2"/>
  <c r="S110" i="15"/>
  <c r="S221" i="15"/>
  <c r="S254" i="15"/>
  <c r="S204" i="15"/>
  <c r="O167" i="15"/>
  <c r="O232" i="15"/>
  <c r="S262" i="15"/>
  <c r="S5" i="15"/>
  <c r="H12" i="14"/>
  <c r="F24" i="14"/>
  <c r="J24" i="14"/>
  <c r="L24" i="14"/>
  <c r="L12" i="14"/>
  <c r="F12" i="14"/>
  <c r="H26" i="14" l="1"/>
  <c r="J26" i="14"/>
  <c r="O132" i="15"/>
  <c r="AH10" i="24"/>
  <c r="AH15" i="24" s="1"/>
  <c r="AH18" i="24" s="1"/>
  <c r="U251" i="20"/>
  <c r="U278" i="20" s="1"/>
  <c r="U279" i="20" s="1"/>
  <c r="K273" i="20"/>
  <c r="K274" i="20" s="1"/>
  <c r="Y133" i="20"/>
  <c r="X277" i="20"/>
  <c r="W251" i="20"/>
  <c r="W278" i="20" s="1"/>
  <c r="W279" i="20" s="1"/>
  <c r="O273" i="20"/>
  <c r="O274" i="20" s="1"/>
  <c r="V251" i="20"/>
  <c r="V278" i="20" s="1"/>
  <c r="V279" i="20" s="1"/>
  <c r="M273" i="20"/>
  <c r="M274" i="20" s="1"/>
  <c r="S249" i="20"/>
  <c r="Q250" i="20"/>
  <c r="X213" i="20"/>
  <c r="T212" i="20"/>
  <c r="S212" i="20"/>
  <c r="Y213" i="20" s="1"/>
  <c r="Y277" i="20"/>
  <c r="X133" i="20"/>
  <c r="T132" i="20"/>
  <c r="J36" i="18"/>
  <c r="K38" i="18" s="1"/>
  <c r="H11" i="18"/>
  <c r="I46" i="18"/>
  <c r="J45" i="18" s="1"/>
  <c r="K46" i="18" s="1"/>
  <c r="J48" i="18"/>
  <c r="H9" i="18"/>
  <c r="I22" i="18"/>
  <c r="J32" i="16"/>
  <c r="J42" i="18"/>
  <c r="I15" i="16"/>
  <c r="I15" i="18"/>
  <c r="H7" i="18"/>
  <c r="I16" i="18"/>
  <c r="J27" i="18"/>
  <c r="J31" i="16"/>
  <c r="J39" i="18"/>
  <c r="H18" i="18"/>
  <c r="J33" i="18"/>
  <c r="H10" i="18"/>
  <c r="I25" i="18"/>
  <c r="H19" i="18"/>
  <c r="I26" i="18"/>
  <c r="I24" i="18"/>
  <c r="I13" i="18"/>
  <c r="H12" i="18"/>
  <c r="H6" i="18"/>
  <c r="I21" i="18"/>
  <c r="J28" i="16"/>
  <c r="J30" i="18"/>
  <c r="S232" i="15"/>
  <c r="T212" i="15"/>
  <c r="T240" i="15"/>
  <c r="S217" i="15"/>
  <c r="H10" i="16"/>
  <c r="T258" i="15"/>
  <c r="J27" i="16"/>
  <c r="I25" i="16"/>
  <c r="S212" i="15"/>
  <c r="I34" i="16"/>
  <c r="J33" i="16" s="1"/>
  <c r="H11" i="16"/>
  <c r="S267" i="15"/>
  <c r="T267" i="15"/>
  <c r="J35" i="16"/>
  <c r="S258" i="15"/>
  <c r="S240" i="15"/>
  <c r="J30" i="16"/>
  <c r="J29" i="16"/>
  <c r="T232" i="15"/>
  <c r="I26" i="16"/>
  <c r="S198" i="15"/>
  <c r="I24" i="16"/>
  <c r="T198" i="15"/>
  <c r="I22" i="16"/>
  <c r="S167" i="15"/>
  <c r="I21" i="16"/>
  <c r="H19" i="16"/>
  <c r="H18" i="16"/>
  <c r="S132" i="15"/>
  <c r="I16" i="16"/>
  <c r="K273" i="15"/>
  <c r="K274" i="15" s="1"/>
  <c r="Q273" i="15"/>
  <c r="Q274" i="15" s="1"/>
  <c r="T132" i="15"/>
  <c r="M273" i="15"/>
  <c r="F9" i="2" s="1"/>
  <c r="F7" i="2" s="1"/>
  <c r="AA32" i="14"/>
  <c r="AA34" i="14" s="1"/>
  <c r="AB32" i="14"/>
  <c r="Y32" i="14"/>
  <c r="Y34" i="14" s="1"/>
  <c r="AC32" i="14"/>
  <c r="AC34" i="14" s="1"/>
  <c r="G32" i="14"/>
  <c r="G34" i="14" s="1"/>
  <c r="H32" i="14"/>
  <c r="H34" i="14" s="1"/>
  <c r="E32" i="14"/>
  <c r="E34" i="14" s="1"/>
  <c r="O273" i="15"/>
  <c r="G9" i="2" s="1"/>
  <c r="G7" i="2" s="1"/>
  <c r="H12" i="16"/>
  <c r="T39" i="15"/>
  <c r="S39" i="15"/>
  <c r="H9" i="16"/>
  <c r="H7" i="16"/>
  <c r="I13" i="16"/>
  <c r="H6" i="16"/>
  <c r="Y11" i="2"/>
  <c r="Z11" i="2"/>
  <c r="X11" i="2" s="1"/>
  <c r="T167" i="15"/>
  <c r="F26" i="14"/>
  <c r="I33" i="14" s="1"/>
  <c r="N33" i="14" s="1"/>
  <c r="S33" i="14" s="1"/>
  <c r="L26" i="14"/>
  <c r="M33" i="14" s="1"/>
  <c r="R33" i="14" s="1"/>
  <c r="W33" i="14" s="1"/>
  <c r="AB33" i="14" s="1"/>
  <c r="K47" i="18" l="1"/>
  <c r="K37" i="18"/>
  <c r="J20" i="18"/>
  <c r="K22" i="18" s="1"/>
  <c r="AH16" i="24"/>
  <c r="AG16" i="24"/>
  <c r="S250" i="20"/>
  <c r="G272" i="20" s="1"/>
  <c r="X251" i="20"/>
  <c r="X278" i="20" s="1"/>
  <c r="X279" i="20" s="1"/>
  <c r="Q273" i="20"/>
  <c r="Q274" i="20" s="1"/>
  <c r="Q276" i="20" s="1"/>
  <c r="K49" i="18"/>
  <c r="K50" i="18"/>
  <c r="I8" i="18"/>
  <c r="I17" i="18"/>
  <c r="J14" i="18" s="1"/>
  <c r="K34" i="18"/>
  <c r="K35" i="18"/>
  <c r="J23" i="18"/>
  <c r="K40" i="18"/>
  <c r="K41" i="18"/>
  <c r="K32" i="18"/>
  <c r="K31" i="18"/>
  <c r="K43" i="18"/>
  <c r="K44" i="18"/>
  <c r="I5" i="18"/>
  <c r="K29" i="18"/>
  <c r="K28" i="18"/>
  <c r="J23" i="16"/>
  <c r="AB34" i="14"/>
  <c r="J20" i="16"/>
  <c r="I17" i="16"/>
  <c r="J14" i="16" s="1"/>
  <c r="G272" i="15"/>
  <c r="M274" i="15"/>
  <c r="E9" i="2"/>
  <c r="E7" i="2" s="1"/>
  <c r="I9" i="2"/>
  <c r="I7" i="2" s="1"/>
  <c r="T272" i="15"/>
  <c r="S276" i="15" s="1"/>
  <c r="O274" i="15"/>
  <c r="I8" i="16"/>
  <c r="I32" i="14"/>
  <c r="I34" i="14" s="1"/>
  <c r="I5" i="16"/>
  <c r="V11" i="2"/>
  <c r="W11" i="2"/>
  <c r="K21" i="18" l="1"/>
  <c r="T250" i="20"/>
  <c r="T272" i="20" s="1"/>
  <c r="S276" i="20" s="1"/>
  <c r="Y251" i="20"/>
  <c r="Y278" i="20" s="1"/>
  <c r="Y279" i="20" s="1"/>
  <c r="J4" i="18"/>
  <c r="J2" i="18" s="1"/>
  <c r="E5" i="2"/>
  <c r="D7" i="2"/>
  <c r="K16" i="18"/>
  <c r="K15" i="18"/>
  <c r="K24" i="18"/>
  <c r="K25" i="18"/>
  <c r="Q276" i="15"/>
  <c r="D9" i="2"/>
  <c r="J4" i="16"/>
  <c r="K2" i="16" s="1"/>
  <c r="J32" i="14"/>
  <c r="K32" i="14" s="1"/>
  <c r="AE7" i="2"/>
  <c r="T11" i="2"/>
  <c r="U11" i="2"/>
  <c r="S11" i="2" s="1"/>
  <c r="K6" i="18" l="1"/>
  <c r="K5" i="18"/>
  <c r="K52" i="18"/>
  <c r="K53" i="18"/>
  <c r="J34" i="14"/>
  <c r="R11" i="2"/>
  <c r="P11" i="2" s="1"/>
  <c r="Q11" i="2"/>
  <c r="K34" i="14"/>
  <c r="L32" i="14"/>
  <c r="N11" i="2" l="1"/>
  <c r="O11" i="2"/>
  <c r="L34" i="14"/>
  <c r="M32" i="14"/>
  <c r="M11" i="2" l="1"/>
  <c r="L11" i="2"/>
  <c r="M34" i="14"/>
  <c r="N32" i="14"/>
  <c r="J11" i="2" l="1"/>
  <c r="K11" i="2"/>
  <c r="N34" i="14"/>
  <c r="O32" i="14"/>
  <c r="I11" i="2" l="1"/>
  <c r="H11" i="2"/>
  <c r="O34" i="14"/>
  <c r="P32" i="14"/>
  <c r="F11" i="2" l="1"/>
  <c r="G11" i="2"/>
  <c r="Q32" i="14"/>
  <c r="P34" i="14"/>
  <c r="E11" i="2" l="1"/>
  <c r="D11" i="2"/>
  <c r="R32" i="14"/>
  <c r="Q34" i="14"/>
  <c r="S32" i="14" l="1"/>
  <c r="R34" i="14"/>
  <c r="S34" i="14" l="1"/>
  <c r="T32" i="14"/>
  <c r="T34" i="14" l="1"/>
  <c r="U32" i="14"/>
  <c r="U34" i="14" l="1"/>
  <c r="V32" i="14"/>
  <c r="W32" i="14" l="1"/>
  <c r="V34" i="14"/>
  <c r="X32" i="14" l="1"/>
  <c r="X34" i="14" s="1"/>
  <c r="W34" i="14"/>
  <c r="H24" i="13" l="1"/>
  <c r="G24" i="13"/>
  <c r="F24" i="13"/>
  <c r="E24" i="13"/>
  <c r="D24" i="13"/>
  <c r="D16" i="13"/>
  <c r="L16" i="13" s="1"/>
  <c r="L15" i="13"/>
  <c r="J15" i="13"/>
  <c r="H15" i="13"/>
  <c r="F15" i="13"/>
  <c r="L14" i="13"/>
  <c r="J14" i="13"/>
  <c r="H14" i="13"/>
  <c r="F14" i="13"/>
  <c r="M13" i="13"/>
  <c r="L13" i="13"/>
  <c r="J13" i="13"/>
  <c r="H13" i="13"/>
  <c r="F13" i="13"/>
  <c r="D12" i="13"/>
  <c r="L12" i="13" s="1"/>
  <c r="L11" i="13"/>
  <c r="J11" i="13"/>
  <c r="H11" i="13"/>
  <c r="F11" i="13"/>
  <c r="L10" i="13"/>
  <c r="J10" i="13"/>
  <c r="H10" i="13"/>
  <c r="F10" i="13"/>
  <c r="M9" i="13"/>
  <c r="L9" i="13"/>
  <c r="J9" i="13"/>
  <c r="H9" i="13"/>
  <c r="F9" i="13"/>
  <c r="D8" i="13"/>
  <c r="H8" i="13" s="1"/>
  <c r="H18" i="13" s="1"/>
  <c r="L7" i="13"/>
  <c r="J7" i="13"/>
  <c r="H7" i="13"/>
  <c r="F7" i="13"/>
  <c r="L6" i="13"/>
  <c r="J6" i="13"/>
  <c r="H6" i="13"/>
  <c r="F6" i="13"/>
  <c r="M5" i="13"/>
  <c r="L5" i="13"/>
  <c r="J5" i="13"/>
  <c r="H5" i="13"/>
  <c r="F5" i="13"/>
  <c r="F12" i="13" l="1"/>
  <c r="F16" i="13"/>
  <c r="L8" i="13"/>
  <c r="H17" i="13"/>
  <c r="J17" i="13"/>
  <c r="N13" i="13"/>
  <c r="N9" i="13"/>
  <c r="N5" i="13"/>
  <c r="F17" i="13"/>
  <c r="L17" i="13"/>
  <c r="X22" i="13" s="1"/>
  <c r="F8" i="13"/>
  <c r="F18" i="13" s="1"/>
  <c r="J16" i="13"/>
  <c r="J8" i="13"/>
  <c r="J18" i="13" s="1"/>
  <c r="H12" i="13"/>
  <c r="J12" i="13"/>
  <c r="H16" i="13"/>
  <c r="L18" i="13" l="1"/>
  <c r="S23" i="13" s="1"/>
  <c r="S22" i="13"/>
  <c r="U22" i="13"/>
  <c r="U24" i="13" s="1"/>
  <c r="N22" i="13"/>
  <c r="P22" i="13"/>
  <c r="P24" i="13" s="1"/>
  <c r="M22" i="13"/>
  <c r="M24" i="13" s="1"/>
  <c r="Q22" i="13"/>
  <c r="Q24" i="13" s="1"/>
  <c r="R22" i="13"/>
  <c r="R24" i="13" s="1"/>
  <c r="I22" i="13"/>
  <c r="I24" i="13" s="1"/>
  <c r="W22" i="13"/>
  <c r="W24" i="13" s="1"/>
  <c r="J22" i="13"/>
  <c r="J24" i="13" s="1"/>
  <c r="V22" i="13"/>
  <c r="V24" i="13" s="1"/>
  <c r="L22" i="13"/>
  <c r="L24" i="13" s="1"/>
  <c r="O22" i="13"/>
  <c r="O24" i="13" s="1"/>
  <c r="T22" i="13"/>
  <c r="T24" i="13" s="1"/>
  <c r="K22" i="13"/>
  <c r="K24" i="13" s="1"/>
  <c r="X23" i="13" l="1"/>
  <c r="X24" i="13" s="1"/>
  <c r="S24" i="13"/>
  <c r="N23" i="13"/>
  <c r="N24" i="13" s="1"/>
  <c r="H16" i="12"/>
  <c r="G16" i="12"/>
  <c r="F16" i="12"/>
  <c r="E16" i="12"/>
  <c r="D16" i="12"/>
  <c r="D8" i="12"/>
  <c r="L8" i="12" s="1"/>
  <c r="L10" i="12" s="1"/>
  <c r="L7" i="12"/>
  <c r="J7" i="12"/>
  <c r="H7" i="12"/>
  <c r="F7" i="12"/>
  <c r="L6" i="12"/>
  <c r="J6" i="12"/>
  <c r="H6" i="12"/>
  <c r="F6" i="12"/>
  <c r="M5" i="12"/>
  <c r="L5" i="12"/>
  <c r="J5" i="12"/>
  <c r="H5" i="12"/>
  <c r="F5" i="12"/>
  <c r="F8" i="12" l="1"/>
  <c r="F10" i="12" s="1"/>
  <c r="H8" i="12"/>
  <c r="H10" i="12" s="1"/>
  <c r="J8" i="12"/>
  <c r="J10" i="12" s="1"/>
  <c r="L9" i="12"/>
  <c r="N14" i="12" s="1"/>
  <c r="F9" i="12"/>
  <c r="N5" i="12"/>
  <c r="H9" i="12"/>
  <c r="J9" i="12"/>
  <c r="X15" i="12"/>
  <c r="S15" i="12"/>
  <c r="N15" i="12"/>
  <c r="K14" i="12" l="1"/>
  <c r="K16" i="12" s="1"/>
  <c r="S14" i="12"/>
  <c r="S16" i="12" s="1"/>
  <c r="P14" i="12"/>
  <c r="P16" i="12" s="1"/>
  <c r="L14" i="12"/>
  <c r="L16" i="12" s="1"/>
  <c r="X14" i="12"/>
  <c r="X16" i="12" s="1"/>
  <c r="U14" i="12"/>
  <c r="U16" i="12" s="1"/>
  <c r="T14" i="12"/>
  <c r="T16" i="12" s="1"/>
  <c r="I14" i="12"/>
  <c r="I16" i="12" s="1"/>
  <c r="M14" i="12"/>
  <c r="M16" i="12" s="1"/>
  <c r="O14" i="12"/>
  <c r="O16" i="12" s="1"/>
  <c r="V14" i="12"/>
  <c r="V16" i="12" s="1"/>
  <c r="Q14" i="12"/>
  <c r="Q16" i="12" s="1"/>
  <c r="J14" i="12"/>
  <c r="J16" i="12" s="1"/>
  <c r="W14" i="12"/>
  <c r="W16" i="12" s="1"/>
  <c r="R14" i="12"/>
  <c r="R16" i="12" s="1"/>
  <c r="N16" i="12"/>
  <c r="H16" i="11" l="1"/>
  <c r="G16" i="11"/>
  <c r="F16" i="11"/>
  <c r="E16" i="11"/>
  <c r="D16" i="11"/>
  <c r="D8" i="11"/>
  <c r="H8" i="11" s="1"/>
  <c r="H10" i="11" s="1"/>
  <c r="L7" i="11"/>
  <c r="J7" i="11"/>
  <c r="H7" i="11"/>
  <c r="F7" i="11"/>
  <c r="L6" i="11"/>
  <c r="J6" i="11"/>
  <c r="H6" i="11"/>
  <c r="F6" i="11"/>
  <c r="M5" i="11"/>
  <c r="L5" i="11"/>
  <c r="J5" i="11"/>
  <c r="H5" i="11"/>
  <c r="F5" i="11"/>
  <c r="L9" i="11" l="1"/>
  <c r="V14" i="11" s="1"/>
  <c r="V16" i="11" s="1"/>
  <c r="N5" i="11"/>
  <c r="H9" i="11"/>
  <c r="F9" i="11"/>
  <c r="J9" i="11"/>
  <c r="J8" i="11"/>
  <c r="J10" i="11" s="1"/>
  <c r="L8" i="11"/>
  <c r="L10" i="11" s="1"/>
  <c r="F8" i="11"/>
  <c r="F10" i="11" s="1"/>
  <c r="I14" i="11" l="1"/>
  <c r="I16" i="11" s="1"/>
  <c r="P14" i="11"/>
  <c r="P16" i="11" s="1"/>
  <c r="M14" i="11"/>
  <c r="L14" i="11"/>
  <c r="L16" i="11" s="1"/>
  <c r="S14" i="11"/>
  <c r="S16" i="11" s="1"/>
  <c r="W14" i="11"/>
  <c r="K14" i="11"/>
  <c r="K16" i="11" s="1"/>
  <c r="O14" i="11"/>
  <c r="O16" i="11" s="1"/>
  <c r="R14" i="11"/>
  <c r="N14" i="11"/>
  <c r="N16" i="11" s="1"/>
  <c r="J14" i="11"/>
  <c r="J16" i="11" s="1"/>
  <c r="T14" i="11"/>
  <c r="T16" i="11" s="1"/>
  <c r="U14" i="11"/>
  <c r="U16" i="11" s="1"/>
  <c r="Q14" i="11"/>
  <c r="Q16" i="11" s="1"/>
  <c r="W15" i="11"/>
  <c r="W16" i="11" s="1"/>
  <c r="R15" i="11"/>
  <c r="M15" i="11"/>
  <c r="M16" i="11" l="1"/>
  <c r="R16" i="11"/>
  <c r="D24" i="10"/>
  <c r="H16" i="10"/>
  <c r="D16" i="10"/>
  <c r="F16" i="10" s="1"/>
  <c r="L15" i="10"/>
  <c r="J15" i="10"/>
  <c r="H15" i="10"/>
  <c r="F15" i="10"/>
  <c r="L14" i="10"/>
  <c r="J14" i="10"/>
  <c r="H14" i="10"/>
  <c r="F14" i="10"/>
  <c r="M13" i="10"/>
  <c r="L13" i="10"/>
  <c r="J13" i="10"/>
  <c r="H13" i="10"/>
  <c r="F13" i="10"/>
  <c r="D12" i="10"/>
  <c r="L12" i="10" s="1"/>
  <c r="L11" i="10"/>
  <c r="J11" i="10"/>
  <c r="H11" i="10"/>
  <c r="F11" i="10"/>
  <c r="L10" i="10"/>
  <c r="J10" i="10"/>
  <c r="H10" i="10"/>
  <c r="F10" i="10"/>
  <c r="M9" i="10"/>
  <c r="L9" i="10"/>
  <c r="J9" i="10"/>
  <c r="H9" i="10"/>
  <c r="F9" i="10"/>
  <c r="D8" i="10"/>
  <c r="H8" i="10" s="1"/>
  <c r="L7" i="10"/>
  <c r="J7" i="10"/>
  <c r="H7" i="10"/>
  <c r="F7" i="10"/>
  <c r="L6" i="10"/>
  <c r="J6" i="10"/>
  <c r="H6" i="10"/>
  <c r="F6" i="10"/>
  <c r="M5" i="10"/>
  <c r="L5" i="10"/>
  <c r="J5" i="10"/>
  <c r="H5" i="10"/>
  <c r="F5" i="10"/>
  <c r="L16" i="10" l="1"/>
  <c r="J16" i="10"/>
  <c r="N13" i="10"/>
  <c r="N9" i="10"/>
  <c r="N5" i="10"/>
  <c r="F17" i="10"/>
  <c r="F22" i="10" s="1"/>
  <c r="F24" i="10" s="1"/>
  <c r="J17" i="10"/>
  <c r="L17" i="10"/>
  <c r="H17" i="10"/>
  <c r="J8" i="10"/>
  <c r="L8" i="10"/>
  <c r="F8" i="10"/>
  <c r="F12" i="10"/>
  <c r="H12" i="10"/>
  <c r="H18" i="10" s="1"/>
  <c r="J12" i="10"/>
  <c r="L18" i="10" l="1"/>
  <c r="F18" i="10"/>
  <c r="N23" i="10" s="1"/>
  <c r="E22" i="10"/>
  <c r="E24" i="10" s="1"/>
  <c r="I22" i="10"/>
  <c r="W22" i="10"/>
  <c r="J18" i="10"/>
  <c r="P23" i="10" s="1"/>
  <c r="T22" i="10"/>
  <c r="U22" i="10"/>
  <c r="N22" i="10"/>
  <c r="K22" i="10"/>
  <c r="V22" i="10"/>
  <c r="V24" i="10" s="1"/>
  <c r="S22" i="10"/>
  <c r="J22" i="10"/>
  <c r="G22" i="10"/>
  <c r="G24" i="10" s="1"/>
  <c r="L22" i="10"/>
  <c r="L24" i="10" s="1"/>
  <c r="P22" i="10"/>
  <c r="Q22" i="10"/>
  <c r="Q24" i="10" s="1"/>
  <c r="M22" i="10"/>
  <c r="R22" i="10"/>
  <c r="O22" i="10"/>
  <c r="T23" i="10"/>
  <c r="J23" i="10"/>
  <c r="O23" i="10"/>
  <c r="W23" i="10"/>
  <c r="M23" i="10"/>
  <c r="R23" i="10"/>
  <c r="I23" i="10" l="1"/>
  <c r="S23" i="10"/>
  <c r="S24" i="10" s="1"/>
  <c r="U23" i="10"/>
  <c r="U24" i="10" s="1"/>
  <c r="W24" i="10"/>
  <c r="I24" i="10"/>
  <c r="K23" i="10"/>
  <c r="K24" i="10" s="1"/>
  <c r="M24" i="10"/>
  <c r="T24" i="10"/>
  <c r="P24" i="10"/>
  <c r="R24" i="10"/>
  <c r="J24" i="10"/>
  <c r="H22" i="10"/>
  <c r="H24" i="10" s="1"/>
  <c r="N24" i="10"/>
  <c r="O24" i="10"/>
  <c r="H28" i="9"/>
  <c r="G28" i="9"/>
  <c r="F28" i="9"/>
  <c r="D20" i="9"/>
  <c r="H20" i="9" s="1"/>
  <c r="L19" i="9"/>
  <c r="J19" i="9"/>
  <c r="H19" i="9"/>
  <c r="F19" i="9"/>
  <c r="L18" i="9"/>
  <c r="J18" i="9"/>
  <c r="H18" i="9"/>
  <c r="F18" i="9"/>
  <c r="M17" i="9"/>
  <c r="L17" i="9"/>
  <c r="J17" i="9"/>
  <c r="H17" i="9"/>
  <c r="F17" i="9"/>
  <c r="D16" i="9"/>
  <c r="J16" i="9" s="1"/>
  <c r="L15" i="9"/>
  <c r="J15" i="9"/>
  <c r="H15" i="9"/>
  <c r="F15" i="9"/>
  <c r="L14" i="9"/>
  <c r="J14" i="9"/>
  <c r="H14" i="9"/>
  <c r="F14" i="9"/>
  <c r="M13" i="9"/>
  <c r="L13" i="9"/>
  <c r="J13" i="9"/>
  <c r="H13" i="9"/>
  <c r="F13" i="9"/>
  <c r="D12" i="9"/>
  <c r="L12" i="9" s="1"/>
  <c r="L11" i="9"/>
  <c r="J11" i="9"/>
  <c r="H11" i="9"/>
  <c r="F11" i="9"/>
  <c r="L10" i="9"/>
  <c r="J10" i="9"/>
  <c r="H10" i="9"/>
  <c r="F10" i="9"/>
  <c r="M9" i="9"/>
  <c r="L9" i="9"/>
  <c r="J9" i="9"/>
  <c r="H9" i="9"/>
  <c r="F9" i="9"/>
  <c r="D8" i="9"/>
  <c r="F8" i="9" s="1"/>
  <c r="L7" i="9"/>
  <c r="J7" i="9"/>
  <c r="H7" i="9"/>
  <c r="F7" i="9"/>
  <c r="L6" i="9"/>
  <c r="J6" i="9"/>
  <c r="H6" i="9"/>
  <c r="F6" i="9"/>
  <c r="M5" i="9"/>
  <c r="L5" i="9"/>
  <c r="J5" i="9"/>
  <c r="H5" i="9"/>
  <c r="F5" i="9"/>
  <c r="L8" i="9" l="1"/>
  <c r="F20" i="9"/>
  <c r="H16" i="9"/>
  <c r="H8" i="9"/>
  <c r="F12" i="9"/>
  <c r="H12" i="9" s="1"/>
  <c r="J12" i="9" s="1"/>
  <c r="J20" i="9"/>
  <c r="F16" i="9"/>
  <c r="L20" i="9"/>
  <c r="L16" i="9"/>
  <c r="N17" i="9"/>
  <c r="N13" i="9"/>
  <c r="N9" i="9"/>
  <c r="F21" i="9"/>
  <c r="N5" i="9"/>
  <c r="H21" i="9"/>
  <c r="J21" i="9"/>
  <c r="L21" i="9"/>
  <c r="O26" i="9" s="1"/>
  <c r="O28" i="9" s="1"/>
  <c r="J8" i="9"/>
  <c r="H22" i="9" l="1"/>
  <c r="L22" i="9"/>
  <c r="R27" i="9" s="1"/>
  <c r="J22" i="9"/>
  <c r="F22" i="9"/>
  <c r="J26" i="9"/>
  <c r="J28" i="9" s="1"/>
  <c r="R26" i="9"/>
  <c r="U26" i="9"/>
  <c r="U28" i="9" s="1"/>
  <c r="V26" i="9"/>
  <c r="V28" i="9" s="1"/>
  <c r="P26" i="9"/>
  <c r="P28" i="9" s="1"/>
  <c r="K26" i="9"/>
  <c r="K28" i="9" s="1"/>
  <c r="M26" i="9"/>
  <c r="N26" i="9"/>
  <c r="N28" i="9" s="1"/>
  <c r="W26" i="9"/>
  <c r="S26" i="9"/>
  <c r="S28" i="9" s="1"/>
  <c r="I26" i="9"/>
  <c r="I28" i="9" s="1"/>
  <c r="Q26" i="9"/>
  <c r="Q28" i="9" s="1"/>
  <c r="T26" i="9"/>
  <c r="T28" i="9" s="1"/>
  <c r="L26" i="9"/>
  <c r="L28" i="9" s="1"/>
  <c r="R28" i="9" l="1"/>
  <c r="M27" i="9"/>
  <c r="W27" i="9"/>
  <c r="W28" i="9"/>
  <c r="M28" i="9"/>
  <c r="H15" i="8"/>
  <c r="G15" i="8"/>
  <c r="F15" i="8"/>
  <c r="L7" i="8"/>
  <c r="J7" i="8"/>
  <c r="H7" i="8"/>
  <c r="F7" i="8"/>
  <c r="L6" i="8"/>
  <c r="J6" i="8"/>
  <c r="H6" i="8"/>
  <c r="F6" i="8"/>
  <c r="M5" i="8"/>
  <c r="L5" i="8"/>
  <c r="J5" i="8"/>
  <c r="H5" i="8"/>
  <c r="F5" i="8"/>
  <c r="J8" i="8" l="1"/>
  <c r="L8" i="8"/>
  <c r="AB14" i="8" s="1"/>
  <c r="AB15" i="8" s="1"/>
  <c r="N5" i="8"/>
  <c r="F8" i="8"/>
  <c r="H8" i="8"/>
  <c r="I14" i="8" l="1"/>
  <c r="I15" i="8" s="1"/>
  <c r="Q14" i="8"/>
  <c r="Q15" i="8" s="1"/>
  <c r="Y14" i="8"/>
  <c r="Y15" i="8" s="1"/>
  <c r="R14" i="8"/>
  <c r="R15" i="8" s="1"/>
  <c r="L14" i="8"/>
  <c r="L15" i="8" s="1"/>
  <c r="M14" i="8"/>
  <c r="M15" i="8" s="1"/>
  <c r="W14" i="8"/>
  <c r="W15" i="8" s="1"/>
  <c r="U14" i="8"/>
  <c r="U15" i="8" s="1"/>
  <c r="X14" i="8"/>
  <c r="X15" i="8" s="1"/>
  <c r="T14" i="8"/>
  <c r="T15" i="8" s="1"/>
  <c r="N14" i="8"/>
  <c r="N15" i="8" s="1"/>
  <c r="K14" i="8"/>
  <c r="K15" i="8" s="1"/>
  <c r="P14" i="8"/>
  <c r="P15" i="8" s="1"/>
  <c r="AA14" i="8"/>
  <c r="AA15" i="8" s="1"/>
  <c r="O14" i="8"/>
  <c r="O15" i="8" s="1"/>
  <c r="Z14" i="8"/>
  <c r="Z15" i="8" s="1"/>
  <c r="AC14" i="8"/>
  <c r="AC15" i="8" s="1"/>
  <c r="S14" i="8"/>
  <c r="S15" i="8" s="1"/>
  <c r="V14" i="8"/>
  <c r="V15" i="8" s="1"/>
  <c r="J14" i="8"/>
  <c r="J15" i="8" s="1"/>
  <c r="L15" i="7"/>
  <c r="L18" i="7" s="1"/>
  <c r="J15" i="7"/>
  <c r="J18" i="7" s="1"/>
  <c r="F15" i="7"/>
  <c r="F18" i="7" s="1"/>
  <c r="F14" i="7"/>
  <c r="H14" i="7" s="1"/>
  <c r="J14" i="7" s="1"/>
  <c r="L14" i="7" s="1"/>
  <c r="L13" i="7"/>
  <c r="J13" i="7"/>
  <c r="H13" i="7"/>
  <c r="F13" i="7"/>
  <c r="F12" i="7"/>
  <c r="H12" i="7" s="1"/>
  <c r="J12" i="7" s="1"/>
  <c r="L12" i="7" s="1"/>
  <c r="L11" i="7"/>
  <c r="J11" i="7"/>
  <c r="H11" i="7"/>
  <c r="F11" i="7"/>
  <c r="L10" i="7"/>
  <c r="J10" i="7"/>
  <c r="H10" i="7"/>
  <c r="F10" i="7"/>
  <c r="L9" i="7"/>
  <c r="J9" i="7"/>
  <c r="H9" i="7"/>
  <c r="F9" i="7"/>
  <c r="D8" i="7"/>
  <c r="J8" i="7" s="1"/>
  <c r="J17" i="7" s="1"/>
  <c r="L7" i="7"/>
  <c r="J7" i="7"/>
  <c r="H7" i="7"/>
  <c r="F7" i="7"/>
  <c r="L6" i="7"/>
  <c r="J6" i="7"/>
  <c r="H6" i="7"/>
  <c r="F6" i="7"/>
  <c r="J5" i="7"/>
  <c r="H5" i="7"/>
  <c r="F5" i="7"/>
  <c r="L8" i="7" l="1"/>
  <c r="L17" i="7" s="1"/>
  <c r="L16" i="7"/>
  <c r="K23" i="7"/>
  <c r="U23" i="7"/>
  <c r="P23" i="7"/>
  <c r="J24" i="7"/>
  <c r="M24" i="7" s="1"/>
  <c r="G24" i="7"/>
  <c r="I24" i="7"/>
  <c r="U24" i="7"/>
  <c r="L24" i="7"/>
  <c r="R24" i="7"/>
  <c r="O24" i="7"/>
  <c r="F8" i="7"/>
  <c r="F17" i="7" s="1"/>
  <c r="F16" i="7"/>
  <c r="H8" i="7"/>
  <c r="H17" i="7" s="1"/>
  <c r="J16" i="7"/>
  <c r="E22" i="7" l="1"/>
  <c r="P24" i="7"/>
  <c r="S24" i="7" s="1"/>
  <c r="V24" i="7" s="1"/>
  <c r="N24" i="7"/>
  <c r="Q24" i="7" s="1"/>
  <c r="T24" i="7" s="1"/>
  <c r="W24" i="7" s="1"/>
  <c r="N23" i="7"/>
  <c r="S23" i="7"/>
  <c r="I23" i="7"/>
  <c r="T23" i="7"/>
  <c r="O23" i="7"/>
  <c r="J23" i="7"/>
  <c r="L103" i="6" l="1"/>
  <c r="J103" i="6"/>
  <c r="H103" i="6"/>
  <c r="F103" i="6"/>
  <c r="L102" i="6"/>
  <c r="J102" i="6"/>
  <c r="H102" i="6"/>
  <c r="F102" i="6"/>
  <c r="L101" i="6"/>
  <c r="J101" i="6"/>
  <c r="H101" i="6"/>
  <c r="F101" i="6"/>
  <c r="L99" i="6"/>
  <c r="J99" i="6"/>
  <c r="H99" i="6"/>
  <c r="F99" i="6"/>
  <c r="L98" i="6"/>
  <c r="J98" i="6"/>
  <c r="H98" i="6"/>
  <c r="F98" i="6"/>
  <c r="L96" i="6"/>
  <c r="J96" i="6"/>
  <c r="H96" i="6"/>
  <c r="F96" i="6"/>
  <c r="L95" i="6"/>
  <c r="J95" i="6"/>
  <c r="H95" i="6"/>
  <c r="F95" i="6"/>
  <c r="L94" i="6"/>
  <c r="J94" i="6"/>
  <c r="H94" i="6"/>
  <c r="F94" i="6"/>
  <c r="L92" i="6"/>
  <c r="J92" i="6"/>
  <c r="H92" i="6"/>
  <c r="F92" i="6"/>
  <c r="L91" i="6"/>
  <c r="J91" i="6"/>
  <c r="H91" i="6"/>
  <c r="F91" i="6"/>
  <c r="L89" i="6"/>
  <c r="J89" i="6"/>
  <c r="H89" i="6"/>
  <c r="F89" i="6"/>
  <c r="L88" i="6"/>
  <c r="J88" i="6"/>
  <c r="H88" i="6"/>
  <c r="F88" i="6"/>
  <c r="F83" i="6"/>
  <c r="E83" i="6"/>
  <c r="D83" i="6"/>
  <c r="L74" i="6"/>
  <c r="J74" i="6"/>
  <c r="H74" i="6"/>
  <c r="L73" i="6"/>
  <c r="J73" i="6"/>
  <c r="H73" i="6"/>
  <c r="L72" i="6"/>
  <c r="J72" i="6"/>
  <c r="H72" i="6"/>
  <c r="L70" i="6"/>
  <c r="J70" i="6"/>
  <c r="H70" i="6"/>
  <c r="L69" i="6"/>
  <c r="J69" i="6"/>
  <c r="H69" i="6"/>
  <c r="L68" i="6"/>
  <c r="J68" i="6"/>
  <c r="H68" i="6"/>
  <c r="L66" i="6"/>
  <c r="J66" i="6"/>
  <c r="H66" i="6"/>
  <c r="L65" i="6"/>
  <c r="J65" i="6"/>
  <c r="H65" i="6"/>
  <c r="L64" i="6"/>
  <c r="J64" i="6"/>
  <c r="H64" i="6"/>
  <c r="L62" i="6"/>
  <c r="J62" i="6"/>
  <c r="H62" i="6"/>
  <c r="L61" i="6"/>
  <c r="J61" i="6"/>
  <c r="H61" i="6"/>
  <c r="L60" i="6"/>
  <c r="J60" i="6"/>
  <c r="H60" i="6"/>
  <c r="L58" i="6"/>
  <c r="J58" i="6"/>
  <c r="H58" i="6"/>
  <c r="L57" i="6"/>
  <c r="J57" i="6"/>
  <c r="H57" i="6"/>
  <c r="L56" i="6"/>
  <c r="J56" i="6"/>
  <c r="H56" i="6"/>
  <c r="L54" i="6"/>
  <c r="J54" i="6"/>
  <c r="H54" i="6"/>
  <c r="L53" i="6"/>
  <c r="J53" i="6"/>
  <c r="H53" i="6"/>
  <c r="L52" i="6"/>
  <c r="J52" i="6"/>
  <c r="H52" i="6"/>
  <c r="L50" i="6"/>
  <c r="J50" i="6"/>
  <c r="H50" i="6"/>
  <c r="L49" i="6"/>
  <c r="J49" i="6"/>
  <c r="H49" i="6"/>
  <c r="L48" i="6"/>
  <c r="J48" i="6"/>
  <c r="H48" i="6"/>
  <c r="L46" i="6"/>
  <c r="J46" i="6"/>
  <c r="H46" i="6"/>
  <c r="L45" i="6"/>
  <c r="J45" i="6"/>
  <c r="H45" i="6"/>
  <c r="L44" i="6"/>
  <c r="J44" i="6"/>
  <c r="H44" i="6"/>
  <c r="L42" i="6"/>
  <c r="J42" i="6"/>
  <c r="H42" i="6"/>
  <c r="L41" i="6"/>
  <c r="J41" i="6"/>
  <c r="H41" i="6"/>
  <c r="L40" i="6"/>
  <c r="J40" i="6"/>
  <c r="H40" i="6"/>
  <c r="L38" i="6"/>
  <c r="J38" i="6"/>
  <c r="H38" i="6"/>
  <c r="L37" i="6"/>
  <c r="J37" i="6"/>
  <c r="H37" i="6"/>
  <c r="L36" i="6"/>
  <c r="J36" i="6"/>
  <c r="H36" i="6"/>
  <c r="L34" i="6"/>
  <c r="J34" i="6"/>
  <c r="H34" i="6"/>
  <c r="L33" i="6"/>
  <c r="J33" i="6"/>
  <c r="H33" i="6"/>
  <c r="L20" i="6"/>
  <c r="J20" i="6"/>
  <c r="H20" i="6"/>
  <c r="F20" i="6"/>
  <c r="L19" i="6"/>
  <c r="J19" i="6"/>
  <c r="H19" i="6"/>
  <c r="F19" i="6"/>
  <c r="L18" i="6"/>
  <c r="J18" i="6"/>
  <c r="H18" i="6"/>
  <c r="F18" i="6"/>
  <c r="L16" i="6"/>
  <c r="J16" i="6"/>
  <c r="H16" i="6"/>
  <c r="F16" i="6"/>
  <c r="L15" i="6"/>
  <c r="J15" i="6"/>
  <c r="H15" i="6"/>
  <c r="F15" i="6"/>
  <c r="L14" i="6"/>
  <c r="J14" i="6"/>
  <c r="H14" i="6"/>
  <c r="F14" i="6"/>
  <c r="L12" i="6"/>
  <c r="J12" i="6"/>
  <c r="H12" i="6"/>
  <c r="F12" i="6"/>
  <c r="L11" i="6"/>
  <c r="J11" i="6"/>
  <c r="H11" i="6"/>
  <c r="F11" i="6"/>
  <c r="L10" i="6"/>
  <c r="J10" i="6"/>
  <c r="H10" i="6"/>
  <c r="F10" i="6"/>
  <c r="L8" i="6"/>
  <c r="J8" i="6"/>
  <c r="H8" i="6"/>
  <c r="F8" i="6"/>
  <c r="L7" i="6"/>
  <c r="J7" i="6"/>
  <c r="H7" i="6"/>
  <c r="F7" i="6"/>
  <c r="L6" i="6"/>
  <c r="J6" i="6"/>
  <c r="H6" i="6"/>
  <c r="F6" i="6"/>
  <c r="J105" i="6" l="1"/>
  <c r="P111" i="6" s="1"/>
  <c r="U111" i="6" s="1"/>
  <c r="L105" i="6"/>
  <c r="L111" i="6" s="1"/>
  <c r="F105" i="6"/>
  <c r="H105" i="6"/>
  <c r="L104" i="6"/>
  <c r="J104" i="6"/>
  <c r="G110" i="6" s="1"/>
  <c r="H104" i="6"/>
  <c r="F110" i="6" s="1"/>
  <c r="F112" i="6" s="1"/>
  <c r="F104" i="6"/>
  <c r="H76" i="6"/>
  <c r="J76" i="6"/>
  <c r="K82" i="6" s="1"/>
  <c r="H75" i="6"/>
  <c r="F76" i="6"/>
  <c r="L76" i="6"/>
  <c r="M82" i="6" s="1"/>
  <c r="F75" i="6"/>
  <c r="L75" i="6"/>
  <c r="J75" i="6"/>
  <c r="H22" i="6"/>
  <c r="J27" i="6" s="1"/>
  <c r="L21" i="6"/>
  <c r="L22" i="6"/>
  <c r="Q27" i="6" s="1"/>
  <c r="J22" i="6"/>
  <c r="U27" i="6" s="1"/>
  <c r="J21" i="6"/>
  <c r="G26" i="6" s="1"/>
  <c r="H26" i="6" s="1"/>
  <c r="H28" i="6" s="1"/>
  <c r="H21" i="6"/>
  <c r="F26" i="6" s="1"/>
  <c r="F28" i="6" s="1"/>
  <c r="F22" i="6"/>
  <c r="F21" i="6"/>
  <c r="K111" i="6"/>
  <c r="Q111" i="6"/>
  <c r="V111" i="6" s="1"/>
  <c r="K27" i="6" l="1"/>
  <c r="P110" i="6"/>
  <c r="P112" i="6" s="1"/>
  <c r="V110" i="6"/>
  <c r="V112" i="6" s="1"/>
  <c r="M110" i="6"/>
  <c r="M112" i="6" s="1"/>
  <c r="J110" i="6"/>
  <c r="J112" i="6" s="1"/>
  <c r="N110" i="6"/>
  <c r="N112" i="6" s="1"/>
  <c r="R110" i="6"/>
  <c r="R112" i="6" s="1"/>
  <c r="L110" i="6"/>
  <c r="L112" i="6" s="1"/>
  <c r="K110" i="6"/>
  <c r="K112" i="6" s="1"/>
  <c r="S110" i="6"/>
  <c r="S112" i="6" s="1"/>
  <c r="O110" i="6"/>
  <c r="O112" i="6" s="1"/>
  <c r="T110" i="6"/>
  <c r="T112" i="6" s="1"/>
  <c r="W110" i="6"/>
  <c r="W112" i="6" s="1"/>
  <c r="I110" i="6"/>
  <c r="I112" i="6" s="1"/>
  <c r="U110" i="6"/>
  <c r="U112" i="6" s="1"/>
  <c r="Q110" i="6"/>
  <c r="Q112" i="6" s="1"/>
  <c r="R81" i="6"/>
  <c r="P82" i="6"/>
  <c r="U82" i="6"/>
  <c r="W82" i="6"/>
  <c r="R82" i="6"/>
  <c r="T81" i="6"/>
  <c r="T83" i="6" s="1"/>
  <c r="L81" i="6"/>
  <c r="L83" i="6" s="1"/>
  <c r="P81" i="6"/>
  <c r="O81" i="6"/>
  <c r="O83" i="6" s="1"/>
  <c r="K81" i="6"/>
  <c r="K83" i="6" s="1"/>
  <c r="W81" i="6"/>
  <c r="S81" i="6"/>
  <c r="S83" i="6" s="1"/>
  <c r="M81" i="6"/>
  <c r="M83" i="6" s="1"/>
  <c r="Q81" i="6"/>
  <c r="Q83" i="6" s="1"/>
  <c r="V81" i="6"/>
  <c r="V83" i="6" s="1"/>
  <c r="J81" i="6"/>
  <c r="J83" i="6" s="1"/>
  <c r="U81" i="6"/>
  <c r="I81" i="6"/>
  <c r="I83" i="6" s="1"/>
  <c r="N81" i="6"/>
  <c r="N83" i="6" s="1"/>
  <c r="G81" i="6"/>
  <c r="G83" i="6" s="1"/>
  <c r="L27" i="6"/>
  <c r="G28" i="6"/>
  <c r="V27" i="6"/>
  <c r="O27" i="6"/>
  <c r="T27" i="6"/>
  <c r="L26" i="6"/>
  <c r="P26" i="6"/>
  <c r="I26" i="6"/>
  <c r="I28" i="6" s="1"/>
  <c r="N26" i="6"/>
  <c r="N28" i="6" s="1"/>
  <c r="U26" i="6"/>
  <c r="U28" i="6" s="1"/>
  <c r="J26" i="6"/>
  <c r="J28" i="6" s="1"/>
  <c r="O26" i="6"/>
  <c r="P27" i="6"/>
  <c r="R26" i="6"/>
  <c r="R28" i="6" s="1"/>
  <c r="K26" i="6"/>
  <c r="T26" i="6"/>
  <c r="M26" i="6"/>
  <c r="M28" i="6" s="1"/>
  <c r="S26" i="6"/>
  <c r="S28" i="6" s="1"/>
  <c r="Q26" i="6"/>
  <c r="Q28" i="6" s="1"/>
  <c r="G112" i="6"/>
  <c r="H110" i="6"/>
  <c r="H112" i="6" s="1"/>
  <c r="T28" i="6" l="1"/>
  <c r="O28" i="6"/>
  <c r="K28" i="6"/>
  <c r="P28" i="6"/>
  <c r="R83" i="6"/>
  <c r="P83" i="6"/>
  <c r="U83" i="6"/>
  <c r="W83" i="6"/>
  <c r="H81" i="6"/>
  <c r="H83" i="6" s="1"/>
  <c r="L28" i="6"/>
  <c r="V26" i="6"/>
  <c r="W26" i="6" s="1"/>
  <c r="W28" i="6" s="1"/>
  <c r="X83" i="6" l="1"/>
  <c r="V28" i="6"/>
  <c r="X28" i="6" s="1"/>
  <c r="F4" i="5"/>
  <c r="H4" i="5"/>
  <c r="J4" i="5"/>
  <c r="L4" i="5"/>
  <c r="M4" i="5"/>
  <c r="F5" i="5"/>
  <c r="H5" i="5"/>
  <c r="J5" i="5"/>
  <c r="L5" i="5"/>
  <c r="F6" i="5"/>
  <c r="H6" i="5"/>
  <c r="J6" i="5"/>
  <c r="L6" i="5"/>
  <c r="F7" i="5"/>
  <c r="H7" i="5"/>
  <c r="J7" i="5"/>
  <c r="L7" i="5"/>
  <c r="M7" i="5"/>
  <c r="F8" i="5"/>
  <c r="H8" i="5"/>
  <c r="J8" i="5"/>
  <c r="L8" i="5"/>
  <c r="F9" i="5"/>
  <c r="H9" i="5"/>
  <c r="J9" i="5"/>
  <c r="L9" i="5"/>
  <c r="F10" i="5"/>
  <c r="H10" i="5"/>
  <c r="J10" i="5"/>
  <c r="L10" i="5"/>
  <c r="F11" i="5"/>
  <c r="H11" i="5"/>
  <c r="J11" i="5"/>
  <c r="L11" i="5"/>
  <c r="M11" i="5"/>
  <c r="F12" i="5"/>
  <c r="H12" i="5"/>
  <c r="J12" i="5"/>
  <c r="L12" i="5"/>
  <c r="F13" i="5"/>
  <c r="H13" i="5"/>
  <c r="J13" i="5"/>
  <c r="L13" i="5"/>
  <c r="F14" i="5"/>
  <c r="H14" i="5"/>
  <c r="J14" i="5"/>
  <c r="L14" i="5"/>
  <c r="F15" i="5"/>
  <c r="H15" i="5"/>
  <c r="J15" i="5"/>
  <c r="L15" i="5"/>
  <c r="M15" i="5"/>
  <c r="F16" i="5"/>
  <c r="H16" i="5"/>
  <c r="J16" i="5"/>
  <c r="L16" i="5"/>
  <c r="F17" i="5"/>
  <c r="H17" i="5"/>
  <c r="J17" i="5"/>
  <c r="L17" i="5"/>
  <c r="F18" i="5"/>
  <c r="H18" i="5"/>
  <c r="J18" i="5"/>
  <c r="L18" i="5"/>
  <c r="M18" i="5"/>
  <c r="F19" i="5"/>
  <c r="H19" i="5"/>
  <c r="J19" i="5"/>
  <c r="L19" i="5"/>
  <c r="F20" i="5"/>
  <c r="H20" i="5"/>
  <c r="J20" i="5"/>
  <c r="L20" i="5"/>
  <c r="F21" i="5"/>
  <c r="H21" i="5"/>
  <c r="J21" i="5"/>
  <c r="L21" i="5"/>
  <c r="M21" i="5"/>
  <c r="F22" i="5"/>
  <c r="H22" i="5"/>
  <c r="J22" i="5"/>
  <c r="L22" i="5"/>
  <c r="F23" i="5"/>
  <c r="H23" i="5"/>
  <c r="J23" i="5"/>
  <c r="L23" i="5"/>
  <c r="AB30" i="5"/>
  <c r="F36" i="5"/>
  <c r="H36" i="5"/>
  <c r="J36" i="5"/>
  <c r="L36" i="5"/>
  <c r="M36" i="5"/>
  <c r="F37" i="5"/>
  <c r="H37" i="5"/>
  <c r="J37" i="5"/>
  <c r="L37" i="5"/>
  <c r="F38" i="5"/>
  <c r="H38" i="5"/>
  <c r="J38" i="5"/>
  <c r="L38" i="5"/>
  <c r="L49" i="5" s="1"/>
  <c r="F39" i="5"/>
  <c r="H39" i="5"/>
  <c r="J39" i="5"/>
  <c r="L39" i="5"/>
  <c r="M39" i="5"/>
  <c r="F40" i="5"/>
  <c r="H40" i="5"/>
  <c r="J40" i="5"/>
  <c r="L40" i="5"/>
  <c r="F41" i="5"/>
  <c r="H41" i="5"/>
  <c r="J41" i="5"/>
  <c r="L41" i="5"/>
  <c r="F42" i="5"/>
  <c r="H42" i="5"/>
  <c r="J42" i="5"/>
  <c r="L42" i="5"/>
  <c r="M42" i="5"/>
  <c r="F43" i="5"/>
  <c r="H43" i="5"/>
  <c r="J43" i="5"/>
  <c r="L43" i="5"/>
  <c r="F44" i="5"/>
  <c r="H44" i="5"/>
  <c r="J44" i="5"/>
  <c r="L44" i="5"/>
  <c r="F45" i="5"/>
  <c r="H45" i="5"/>
  <c r="J45" i="5"/>
  <c r="L45" i="5"/>
  <c r="M45" i="5"/>
  <c r="F46" i="5"/>
  <c r="H46" i="5"/>
  <c r="J46" i="5"/>
  <c r="L46" i="5"/>
  <c r="F47" i="5"/>
  <c r="H47" i="5"/>
  <c r="J47" i="5"/>
  <c r="L47" i="5"/>
  <c r="H48" i="5"/>
  <c r="J48" i="5"/>
  <c r="H49" i="5"/>
  <c r="J49" i="5"/>
  <c r="F25" i="5" l="1"/>
  <c r="AB31" i="5" s="1"/>
  <c r="AB32" i="5" s="1"/>
  <c r="AD14" i="2" s="1"/>
  <c r="C31" i="5"/>
  <c r="N21" i="5"/>
  <c r="N18" i="5"/>
  <c r="N15" i="5"/>
  <c r="N11" i="5"/>
  <c r="J25" i="5"/>
  <c r="J31" i="5" s="1"/>
  <c r="H25" i="5"/>
  <c r="N31" i="5" s="1"/>
  <c r="F24" i="5"/>
  <c r="N7" i="5"/>
  <c r="L24" i="5"/>
  <c r="L25" i="5"/>
  <c r="J24" i="5"/>
  <c r="N4" i="5"/>
  <c r="H24" i="5"/>
  <c r="N45" i="5"/>
  <c r="N42" i="5"/>
  <c r="F48" i="5"/>
  <c r="N39" i="5"/>
  <c r="L48" i="5"/>
  <c r="K53" i="5" s="1"/>
  <c r="F49" i="5"/>
  <c r="N36" i="5"/>
  <c r="W31" i="5" l="1"/>
  <c r="R31" i="5"/>
  <c r="H31" i="5"/>
  <c r="M31" i="5"/>
  <c r="O31" i="5"/>
  <c r="T31" i="5"/>
  <c r="Y31" i="5"/>
  <c r="C32" i="5"/>
  <c r="W30" i="5"/>
  <c r="W32" i="5" s="1"/>
  <c r="X31" i="5"/>
  <c r="I31" i="5"/>
  <c r="S31" i="5"/>
  <c r="O30" i="5"/>
  <c r="O32" i="5" s="1"/>
  <c r="N30" i="5"/>
  <c r="N32" i="5" s="1"/>
  <c r="E30" i="5"/>
  <c r="E32" i="5" s="1"/>
  <c r="Z30" i="5"/>
  <c r="Z32" i="5" s="1"/>
  <c r="I30" i="5"/>
  <c r="P30" i="5"/>
  <c r="P32" i="5" s="1"/>
  <c r="J30" i="5"/>
  <c r="J32" i="5" s="1"/>
  <c r="K30" i="5"/>
  <c r="K32" i="5" s="1"/>
  <c r="Y30" i="5"/>
  <c r="X30" i="5"/>
  <c r="S30" i="5"/>
  <c r="D30" i="5"/>
  <c r="T30" i="5"/>
  <c r="R30" i="5"/>
  <c r="R32" i="5" s="1"/>
  <c r="V30" i="5"/>
  <c r="V32" i="5" s="1"/>
  <c r="H30" i="5"/>
  <c r="AA30" i="5"/>
  <c r="AA32" i="5" s="1"/>
  <c r="M30" i="5"/>
  <c r="U30" i="5"/>
  <c r="U32" i="5" s="1"/>
  <c r="G30" i="5"/>
  <c r="G32" i="5" s="1"/>
  <c r="F30" i="5"/>
  <c r="F32" i="5" s="1"/>
  <c r="L30" i="5"/>
  <c r="L32" i="5" s="1"/>
  <c r="Q30" i="5"/>
  <c r="Q32" i="5" s="1"/>
  <c r="R53" i="5"/>
  <c r="X53" i="5"/>
  <c r="I53" i="5"/>
  <c r="H53" i="5"/>
  <c r="Y53" i="5"/>
  <c r="P53" i="5"/>
  <c r="U53" i="5"/>
  <c r="J53" i="5"/>
  <c r="L53" i="5"/>
  <c r="M53" i="5"/>
  <c r="T53" i="5"/>
  <c r="AB53" i="5"/>
  <c r="Z53" i="5"/>
  <c r="Q53" i="5"/>
  <c r="W53" i="5"/>
  <c r="N53" i="5"/>
  <c r="V53" i="5"/>
  <c r="S53" i="5"/>
  <c r="O53" i="5"/>
  <c r="AA53" i="5"/>
  <c r="M32" i="5" l="1"/>
  <c r="H32" i="5"/>
  <c r="T32" i="5"/>
  <c r="AC31" i="5"/>
  <c r="Y32" i="5"/>
  <c r="I32" i="5"/>
  <c r="D32" i="5"/>
  <c r="AC30" i="5"/>
  <c r="X32" i="5"/>
  <c r="S32" i="5"/>
  <c r="F4" i="4"/>
  <c r="H4" i="4"/>
  <c r="J4" i="4"/>
  <c r="L4" i="4"/>
  <c r="N4" i="4"/>
  <c r="F5" i="4"/>
  <c r="H5" i="4"/>
  <c r="J5" i="4"/>
  <c r="L5" i="4"/>
  <c r="N5" i="4"/>
  <c r="F6" i="4"/>
  <c r="H6" i="4"/>
  <c r="J6" i="4"/>
  <c r="L6" i="4"/>
  <c r="N6" i="4"/>
  <c r="F8" i="4"/>
  <c r="H8" i="4"/>
  <c r="J8" i="4"/>
  <c r="L8" i="4"/>
  <c r="N8" i="4"/>
  <c r="F9" i="4"/>
  <c r="H9" i="4"/>
  <c r="J9" i="4"/>
  <c r="L9" i="4"/>
  <c r="N9" i="4"/>
  <c r="F10" i="4"/>
  <c r="H10" i="4"/>
  <c r="J10" i="4"/>
  <c r="L10" i="4"/>
  <c r="N10" i="4"/>
  <c r="F12" i="4"/>
  <c r="H12" i="4"/>
  <c r="J12" i="4"/>
  <c r="L12" i="4"/>
  <c r="N12" i="4"/>
  <c r="F13" i="4"/>
  <c r="H13" i="4"/>
  <c r="J13" i="4"/>
  <c r="L13" i="4"/>
  <c r="N13" i="4"/>
  <c r="F14" i="4"/>
  <c r="H14" i="4"/>
  <c r="J14" i="4"/>
  <c r="L14" i="4"/>
  <c r="N14" i="4"/>
  <c r="C23" i="4"/>
  <c r="J27" i="4"/>
  <c r="L27" i="4"/>
  <c r="J28" i="4"/>
  <c r="L28" i="4"/>
  <c r="J29" i="4"/>
  <c r="L29" i="4"/>
  <c r="J31" i="4"/>
  <c r="L31" i="4"/>
  <c r="J32" i="4"/>
  <c r="L32" i="4"/>
  <c r="J33" i="4"/>
  <c r="L33" i="4"/>
  <c r="J35" i="4"/>
  <c r="L35" i="4"/>
  <c r="J36" i="4"/>
  <c r="L36" i="4"/>
  <c r="J37" i="4"/>
  <c r="L37" i="4"/>
  <c r="H39" i="4"/>
  <c r="J39" i="4"/>
  <c r="L39" i="4"/>
  <c r="H40" i="4"/>
  <c r="J40" i="4"/>
  <c r="L40" i="4"/>
  <c r="H41" i="4"/>
  <c r="J41" i="4"/>
  <c r="M51" i="4" s="1"/>
  <c r="L41" i="4"/>
  <c r="H43" i="4"/>
  <c r="L43" i="4"/>
  <c r="H44" i="4"/>
  <c r="L44" i="4"/>
  <c r="C52" i="4"/>
  <c r="C53" i="4" s="1"/>
  <c r="D53" i="4"/>
  <c r="AC32" i="5" l="1"/>
  <c r="N16" i="4"/>
  <c r="N15" i="4"/>
  <c r="E52" i="4"/>
  <c r="E53" i="4" s="1"/>
  <c r="U51" i="4"/>
  <c r="L51" i="4"/>
  <c r="Q51" i="4" s="1"/>
  <c r="J51" i="4"/>
  <c r="Y51" i="4" s="1"/>
  <c r="H52" i="4"/>
  <c r="L16" i="4"/>
  <c r="L22" i="4" s="1"/>
  <c r="F16" i="4"/>
  <c r="H22" i="4" s="1"/>
  <c r="M22" i="4" s="1"/>
  <c r="R22" i="4" s="1"/>
  <c r="W22" i="4" s="1"/>
  <c r="J15" i="4"/>
  <c r="J16" i="4"/>
  <c r="J22" i="4" s="1"/>
  <c r="O22" i="4" s="1"/>
  <c r="T22" i="4" s="1"/>
  <c r="Y22" i="4" s="1"/>
  <c r="H16" i="4"/>
  <c r="I22" i="4" s="1"/>
  <c r="N22" i="4" s="1"/>
  <c r="S22" i="4" s="1"/>
  <c r="X22" i="4" s="1"/>
  <c r="L15" i="4"/>
  <c r="H15" i="4"/>
  <c r="F15" i="4"/>
  <c r="F52" i="4" l="1"/>
  <c r="G52" i="4" s="1"/>
  <c r="H53" i="4" s="1"/>
  <c r="AA22" i="4"/>
  <c r="V22" i="4"/>
  <c r="Q22" i="4"/>
  <c r="T51" i="4"/>
  <c r="O51" i="4"/>
  <c r="E21" i="4"/>
  <c r="E23" i="4" s="1"/>
  <c r="T21" i="4"/>
  <c r="T23" i="4" s="1"/>
  <c r="X21" i="4"/>
  <c r="X23" i="4" s="1"/>
  <c r="J21" i="4"/>
  <c r="J23" i="4" s="1"/>
  <c r="L21" i="4"/>
  <c r="L23" i="4" s="1"/>
  <c r="P21" i="4"/>
  <c r="P23" i="4" s="1"/>
  <c r="Q21" i="4"/>
  <c r="D21" i="4"/>
  <c r="D23" i="4" s="1"/>
  <c r="V21" i="4"/>
  <c r="W21" i="4"/>
  <c r="W23" i="4" s="1"/>
  <c r="K21" i="4"/>
  <c r="K23" i="4" s="1"/>
  <c r="R21" i="4"/>
  <c r="R23" i="4" s="1"/>
  <c r="U21" i="4"/>
  <c r="U23" i="4" s="1"/>
  <c r="H21" i="4"/>
  <c r="H23" i="4" s="1"/>
  <c r="S21" i="4"/>
  <c r="S23" i="4" s="1"/>
  <c r="N21" i="4"/>
  <c r="N23" i="4" s="1"/>
  <c r="O21" i="4"/>
  <c r="O23" i="4" s="1"/>
  <c r="F21" i="4"/>
  <c r="F23" i="4" s="1"/>
  <c r="G21" i="4"/>
  <c r="G23" i="4" s="1"/>
  <c r="Y21" i="4"/>
  <c r="Y23" i="4" s="1"/>
  <c r="AA21" i="4"/>
  <c r="M21" i="4"/>
  <c r="M23" i="4" s="1"/>
  <c r="I21" i="4"/>
  <c r="I23" i="4" s="1"/>
  <c r="Z21" i="4"/>
  <c r="Z23" i="4" s="1"/>
  <c r="V51" i="4"/>
  <c r="F53" i="4" l="1"/>
  <c r="V23" i="4"/>
  <c r="AA23" i="4"/>
  <c r="Q23" i="4"/>
  <c r="AA51" i="4"/>
  <c r="G53" i="4"/>
  <c r="T52" i="4"/>
  <c r="T53" i="4" s="1"/>
  <c r="O52" i="4"/>
  <c r="O53" i="4" s="1"/>
  <c r="I52" i="4"/>
  <c r="I53" i="4" s="1"/>
  <c r="W52" i="4"/>
  <c r="W53" i="4" s="1"/>
  <c r="Q52" i="4"/>
  <c r="Q53" i="4" s="1"/>
  <c r="P52" i="4"/>
  <c r="P53" i="4" s="1"/>
  <c r="Z52" i="4"/>
  <c r="Z53" i="4" s="1"/>
  <c r="AB14" i="2" s="1"/>
  <c r="X52" i="4"/>
  <c r="X53" i="4" s="1"/>
  <c r="K52" i="4"/>
  <c r="K53" i="4" s="1"/>
  <c r="M52" i="4"/>
  <c r="M53" i="4" s="1"/>
  <c r="Y52" i="4"/>
  <c r="Y53" i="4" s="1"/>
  <c r="AA14" i="2" s="1"/>
  <c r="S52" i="4"/>
  <c r="S53" i="4" s="1"/>
  <c r="U52" i="4"/>
  <c r="U53" i="4" s="1"/>
  <c r="J52" i="4"/>
  <c r="J53" i="4" s="1"/>
  <c r="AA52" i="4"/>
  <c r="N52" i="4"/>
  <c r="N53" i="4" s="1"/>
  <c r="R52" i="4"/>
  <c r="R53" i="4" s="1"/>
  <c r="L52" i="4"/>
  <c r="L53" i="4" s="1"/>
  <c r="V52" i="4"/>
  <c r="V53" i="4" s="1"/>
  <c r="AB13" i="2" l="1"/>
  <c r="AB10" i="2" s="1"/>
  <c r="AA13" i="2"/>
  <c r="AA10" i="2" s="1"/>
  <c r="Z14" i="2"/>
  <c r="Z13" i="2" s="1"/>
  <c r="Z10" i="2" s="1"/>
  <c r="N49" i="18" s="1"/>
  <c r="N98" i="18" s="1"/>
  <c r="AA53" i="4"/>
  <c r="D4" i="3"/>
  <c r="E4" i="3" s="1"/>
  <c r="F4" i="3" s="1"/>
  <c r="G4" i="3" s="1"/>
  <c r="D5" i="3"/>
  <c r="C6" i="3"/>
  <c r="D6" i="3" s="1"/>
  <c r="E6" i="3" s="1"/>
  <c r="F6" i="3" s="1"/>
  <c r="G6" i="3" s="1"/>
  <c r="H6" i="3" s="1"/>
  <c r="I6" i="3" s="1"/>
  <c r="J6" i="3" s="1"/>
  <c r="K6" i="3" s="1"/>
  <c r="L6" i="3" s="1"/>
  <c r="M6" i="3" s="1"/>
  <c r="N6" i="3" s="1"/>
  <c r="O6" i="3" s="1"/>
  <c r="P6" i="3" s="1"/>
  <c r="Q6" i="3" s="1"/>
  <c r="R6" i="3" s="1"/>
  <c r="S6" i="3" s="1"/>
  <c r="T6" i="3" s="1"/>
  <c r="U6" i="3" s="1"/>
  <c r="C10" i="3"/>
  <c r="D10" i="3"/>
  <c r="F14" i="2" s="1"/>
  <c r="F13" i="2" s="1"/>
  <c r="E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C7" i="3" l="1"/>
  <c r="F12" i="2"/>
  <c r="F10" i="2" s="1"/>
  <c r="G14" i="7"/>
  <c r="H15" i="7" s="1"/>
  <c r="D7" i="3"/>
  <c r="G12" i="2" s="1"/>
  <c r="AB5" i="2"/>
  <c r="N51" i="18"/>
  <c r="N100" i="18" s="1"/>
  <c r="N37" i="16"/>
  <c r="N86" i="16" s="1"/>
  <c r="N50" i="18"/>
  <c r="N99" i="18" s="1"/>
  <c r="AA5" i="2"/>
  <c r="N38" i="16"/>
  <c r="N87" i="16" s="1"/>
  <c r="N36" i="16"/>
  <c r="N85" i="16" s="1"/>
  <c r="Z5" i="2"/>
  <c r="AD13" i="2"/>
  <c r="AD10" i="2" s="1"/>
  <c r="AC14" i="2"/>
  <c r="AC13" i="2" s="1"/>
  <c r="AC10" i="2" s="1"/>
  <c r="N52" i="18" s="1"/>
  <c r="N101" i="18" s="1"/>
  <c r="H4" i="3"/>
  <c r="E5" i="3"/>
  <c r="N16" i="18" l="1"/>
  <c r="N78" i="18" s="1"/>
  <c r="F5" i="2"/>
  <c r="N16" i="16"/>
  <c r="H18" i="7"/>
  <c r="H24" i="7" s="1"/>
  <c r="K24" i="7" s="1"/>
  <c r="H16" i="7"/>
  <c r="AD5" i="2"/>
  <c r="N53" i="18"/>
  <c r="N102" i="18" s="1"/>
  <c r="N40" i="16"/>
  <c r="N89" i="16" s="1"/>
  <c r="N39" i="16"/>
  <c r="N88" i="16" s="1"/>
  <c r="AC5" i="2"/>
  <c r="I4" i="3"/>
  <c r="E7" i="3"/>
  <c r="H12" i="2" s="1"/>
  <c r="F5" i="3"/>
  <c r="N65" i="16" l="1"/>
  <c r="U22" i="7"/>
  <c r="U25" i="7" s="1"/>
  <c r="V14" i="2" s="1"/>
  <c r="V13" i="2" s="1"/>
  <c r="K22" i="7"/>
  <c r="K25" i="7" s="1"/>
  <c r="L14" i="2" s="1"/>
  <c r="L13" i="2" s="1"/>
  <c r="O22" i="7"/>
  <c r="O25" i="7" s="1"/>
  <c r="P14" i="2" s="1"/>
  <c r="P13" i="2" s="1"/>
  <c r="N22" i="7"/>
  <c r="N25" i="7" s="1"/>
  <c r="O14" i="2" s="1"/>
  <c r="O13" i="2" s="1"/>
  <c r="S22" i="7"/>
  <c r="S25" i="7" s="1"/>
  <c r="T14" i="2" s="1"/>
  <c r="T13" i="2" s="1"/>
  <c r="V22" i="7"/>
  <c r="V25" i="7" s="1"/>
  <c r="W14" i="2" s="1"/>
  <c r="W13" i="2" s="1"/>
  <c r="G22" i="7"/>
  <c r="J22" i="7"/>
  <c r="J25" i="7" s="1"/>
  <c r="K14" i="2" s="1"/>
  <c r="K13" i="2" s="1"/>
  <c r="P22" i="7"/>
  <c r="P25" i="7" s="1"/>
  <c r="Q14" i="2" s="1"/>
  <c r="Q13" i="2" s="1"/>
  <c r="M22" i="7"/>
  <c r="M25" i="7" s="1"/>
  <c r="N14" i="2" s="1"/>
  <c r="N13" i="2" s="1"/>
  <c r="I22" i="7"/>
  <c r="I25" i="7" s="1"/>
  <c r="J14" i="2" s="1"/>
  <c r="J13" i="2" s="1"/>
  <c r="W22" i="7"/>
  <c r="W25" i="7" s="1"/>
  <c r="X14" i="2" s="1"/>
  <c r="R22" i="7"/>
  <c r="R25" i="7" s="1"/>
  <c r="S14" i="2" s="1"/>
  <c r="S13" i="2" s="1"/>
  <c r="L22" i="7"/>
  <c r="L25" i="7" s="1"/>
  <c r="M14" i="2" s="1"/>
  <c r="M13" i="2" s="1"/>
  <c r="F22" i="7"/>
  <c r="F25" i="7" s="1"/>
  <c r="G14" i="2" s="1"/>
  <c r="G13" i="2" s="1"/>
  <c r="G10" i="2" s="1"/>
  <c r="G5" i="2" s="1"/>
  <c r="T22" i="7"/>
  <c r="T25" i="7" s="1"/>
  <c r="U14" i="2" s="1"/>
  <c r="U13" i="2" s="1"/>
  <c r="Q22" i="7"/>
  <c r="Q25" i="7" s="1"/>
  <c r="R14" i="2" s="1"/>
  <c r="R13" i="2" s="1"/>
  <c r="F7" i="3"/>
  <c r="I12" i="2" s="1"/>
  <c r="G5" i="3"/>
  <c r="J4" i="3"/>
  <c r="X13" i="2" l="1"/>
  <c r="Y13" i="2" s="1"/>
  <c r="Y10" i="2" s="1"/>
  <c r="N35" i="16" s="1"/>
  <c r="Y14" i="2"/>
  <c r="N17" i="16"/>
  <c r="N17" i="18"/>
  <c r="N79" i="18" s="1"/>
  <c r="H22" i="7"/>
  <c r="H25" i="7" s="1"/>
  <c r="I14" i="2" s="1"/>
  <c r="I13" i="2" s="1"/>
  <c r="I10" i="2" s="1"/>
  <c r="G25" i="7"/>
  <c r="K4" i="3"/>
  <c r="H5" i="3"/>
  <c r="G7" i="3"/>
  <c r="J12" i="2" s="1"/>
  <c r="J10" i="2" s="1"/>
  <c r="N66" i="16" l="1"/>
  <c r="N20" i="18"/>
  <c r="N82" i="18" s="1"/>
  <c r="J5" i="2"/>
  <c r="N20" i="16"/>
  <c r="N69" i="16" s="1"/>
  <c r="H14" i="2"/>
  <c r="N19" i="18"/>
  <c r="N81" i="18" s="1"/>
  <c r="N19" i="16"/>
  <c r="N68" i="16" s="1"/>
  <c r="I5" i="2"/>
  <c r="L4" i="3"/>
  <c r="I5" i="3"/>
  <c r="H7" i="3"/>
  <c r="K12" i="2" s="1"/>
  <c r="K10" i="2" s="1"/>
  <c r="N21" i="18" l="1"/>
  <c r="N83" i="18" s="1"/>
  <c r="K5" i="2"/>
  <c r="N21" i="16"/>
  <c r="N70" i="16" s="1"/>
  <c r="H13" i="2"/>
  <c r="M4" i="3"/>
  <c r="J5" i="3"/>
  <c r="I7" i="3"/>
  <c r="L12" i="2" s="1"/>
  <c r="L10" i="2" s="1"/>
  <c r="D14" i="2" l="1"/>
  <c r="N84" i="16"/>
  <c r="Y5" i="2"/>
  <c r="N48" i="18"/>
  <c r="N97" i="18" s="1"/>
  <c r="H10" i="2"/>
  <c r="D13" i="2"/>
  <c r="N22" i="18"/>
  <c r="N84" i="18" s="1"/>
  <c r="L5" i="2"/>
  <c r="N22" i="16"/>
  <c r="N71" i="16" s="1"/>
  <c r="N4" i="3"/>
  <c r="K5" i="3"/>
  <c r="J7" i="3"/>
  <c r="M12" i="2" s="1"/>
  <c r="M10" i="2" s="1"/>
  <c r="N23" i="18" l="1"/>
  <c r="N85" i="18" s="1"/>
  <c r="N23" i="16"/>
  <c r="N72" i="16" s="1"/>
  <c r="M5" i="2"/>
  <c r="N18" i="18"/>
  <c r="N18" i="16"/>
  <c r="H5" i="2"/>
  <c r="O4" i="3"/>
  <c r="L5" i="3"/>
  <c r="K7" i="3"/>
  <c r="N12" i="2" s="1"/>
  <c r="N10" i="2" s="1"/>
  <c r="N80" i="18" l="1"/>
  <c r="N24" i="18"/>
  <c r="N86" i="18" s="1"/>
  <c r="N24" i="16"/>
  <c r="N73" i="16" s="1"/>
  <c r="N5" i="2"/>
  <c r="N67" i="16"/>
  <c r="M5" i="3"/>
  <c r="L7" i="3"/>
  <c r="O12" i="2" s="1"/>
  <c r="O10" i="2" s="1"/>
  <c r="P4" i="3"/>
  <c r="N25" i="18" l="1"/>
  <c r="O5" i="2"/>
  <c r="N25" i="16"/>
  <c r="Q4" i="3"/>
  <c r="N5" i="3"/>
  <c r="M7" i="3"/>
  <c r="P12" i="2" s="1"/>
  <c r="P10" i="2" s="1"/>
  <c r="N74" i="16" l="1"/>
  <c r="N87" i="18"/>
  <c r="N26" i="18"/>
  <c r="N88" i="18" s="1"/>
  <c r="P5" i="2"/>
  <c r="N26" i="16"/>
  <c r="N75" i="16" s="1"/>
  <c r="O5" i="3"/>
  <c r="N7" i="3"/>
  <c r="Q12" i="2" s="1"/>
  <c r="Q10" i="2" s="1"/>
  <c r="R4" i="3"/>
  <c r="N27" i="18" l="1"/>
  <c r="N89" i="18" s="1"/>
  <c r="N27" i="16"/>
  <c r="Q5" i="2"/>
  <c r="S4" i="3"/>
  <c r="P5" i="3"/>
  <c r="O7" i="3"/>
  <c r="R12" i="2" s="1"/>
  <c r="R10" i="2" s="1"/>
  <c r="N76" i="16" l="1"/>
  <c r="N30" i="18"/>
  <c r="N90" i="18" s="1"/>
  <c r="R5" i="2"/>
  <c r="N28" i="16"/>
  <c r="Q5" i="3"/>
  <c r="P7" i="3"/>
  <c r="S12" i="2" s="1"/>
  <c r="S10" i="2" s="1"/>
  <c r="T4" i="3"/>
  <c r="N33" i="18" l="1"/>
  <c r="N29" i="16"/>
  <c r="S5" i="2"/>
  <c r="N77" i="16"/>
  <c r="R5" i="3"/>
  <c r="Q7" i="3"/>
  <c r="T12" i="2" s="1"/>
  <c r="T10" i="2" s="1"/>
  <c r="U4" i="3"/>
  <c r="N78" i="16" l="1"/>
  <c r="N36" i="18"/>
  <c r="N92" i="18" s="1"/>
  <c r="T5" i="2"/>
  <c r="N30" i="16"/>
  <c r="N91" i="18"/>
  <c r="S5" i="3"/>
  <c r="R7" i="3"/>
  <c r="U12" i="2" s="1"/>
  <c r="U10" i="2" s="1"/>
  <c r="N39" i="18" l="1"/>
  <c r="N93" i="18" s="1"/>
  <c r="U5" i="2"/>
  <c r="N31" i="16"/>
  <c r="N79" i="16"/>
  <c r="T5" i="3"/>
  <c r="S7" i="3"/>
  <c r="V12" i="2" s="1"/>
  <c r="V10" i="2" s="1"/>
  <c r="N42" i="18" l="1"/>
  <c r="N94" i="18" s="1"/>
  <c r="V5" i="2"/>
  <c r="N32" i="16"/>
  <c r="N81" i="16" s="1"/>
  <c r="N80" i="16"/>
  <c r="U5" i="3"/>
  <c r="T7" i="3"/>
  <c r="W12" i="2" s="1"/>
  <c r="W10" i="2" s="1"/>
  <c r="N45" i="18" l="1"/>
  <c r="N95" i="18" s="1"/>
  <c r="W5" i="2"/>
  <c r="N33" i="16"/>
  <c r="N82" i="16" s="1"/>
  <c r="U7" i="3"/>
  <c r="X12" i="2" s="1"/>
  <c r="D12" i="2" l="1"/>
  <c r="X10" i="2"/>
  <c r="N46" i="18" l="1"/>
  <c r="X5" i="2"/>
  <c r="N34" i="16"/>
  <c r="N46" i="16" s="1"/>
  <c r="D10" i="2"/>
  <c r="D5" i="2" l="1"/>
  <c r="D18" i="2" s="1"/>
  <c r="D19" i="2" s="1"/>
  <c r="N83" i="16"/>
  <c r="N41" i="16"/>
  <c r="N96" i="18"/>
  <c r="N103" i="18" s="1"/>
  <c r="N104" i="18" s="1"/>
  <c r="N54" i="18"/>
  <c r="N90" i="16" l="1"/>
  <c r="N91" i="16" s="1"/>
  <c r="N94" i="16"/>
  <c r="N44" i="16"/>
  <c r="N42" i="16"/>
  <c r="N57" i="18"/>
  <c r="H59" i="18" s="1"/>
  <c r="N55" i="18"/>
  <c r="N59" i="18" s="1"/>
</calcChain>
</file>

<file path=xl/comments1.xml><?xml version="1.0" encoding="utf-8"?>
<comments xmlns="http://schemas.openxmlformats.org/spreadsheetml/2006/main">
  <authors>
    <author>Autor</author>
  </authors>
  <commentList>
    <comment ref="B215" authorId="0">
      <text>
        <r>
          <rPr>
            <b/>
            <sz val="9"/>
            <color indexed="81"/>
            <rFont val="Tahoma"/>
            <family val="2"/>
          </rPr>
          <t xml:space="preserve">Autor:
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B215" authorId="0">
      <text>
        <r>
          <rPr>
            <b/>
            <sz val="9"/>
            <color indexed="81"/>
            <rFont val="Tahoma"/>
            <family val="2"/>
          </rPr>
          <t xml:space="preserve">Autor: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B162" authorId="0">
      <text>
        <r>
          <rPr>
            <b/>
            <sz val="9"/>
            <color indexed="81"/>
            <rFont val="Tahoma"/>
            <family val="2"/>
          </rPr>
          <t xml:space="preserve">Autor:
</t>
        </r>
      </text>
    </comment>
  </commentList>
</comments>
</file>

<file path=xl/sharedStrings.xml><?xml version="1.0" encoding="utf-8"?>
<sst xmlns="http://schemas.openxmlformats.org/spreadsheetml/2006/main" count="5799" uniqueCount="871">
  <si>
    <t>Supuestos y documentación de la estimación</t>
  </si>
  <si>
    <t>Categoría de costo</t>
  </si>
  <si>
    <t>Supuesto</t>
  </si>
  <si>
    <t>Inversión inicial</t>
  </si>
  <si>
    <t>2.2.- Adquisición</t>
  </si>
  <si>
    <t>Considera la adquisición de los equipos pertenecientes a los sistemas del Comando de Fuerzas Especiales.</t>
  </si>
  <si>
    <t>2.5.- Otras Inversiones</t>
  </si>
  <si>
    <t xml:space="preserve">Considera sólo costos de integración del sistema Comando, Control, Comunicacones y Computación (C4I)
</t>
  </si>
  <si>
    <t xml:space="preserve">Operación y apoyo </t>
  </si>
  <si>
    <t>3.1.- Costo de Personal que Opera la MOP</t>
  </si>
  <si>
    <t xml:space="preserve">No se consideran estos costos, ya que el Comando de Fuerzas Especiales, mantendrá su dotación y capacidades de personal sin variaciones posterior a la ejecución del proyecto. 
</t>
  </si>
  <si>
    <t>3.2.- Costos de Operación de la MOP</t>
  </si>
  <si>
    <t>3.3.- Costos de Mantenimiento</t>
  </si>
  <si>
    <t>3.3.1.- Mantenimiento Programado: Se utilizó DATA de las Direcciones Técnicas asociadas a cada equipo, además de la estadística existente en el Comfues relacionada con los grados de actividad anualizados.</t>
  </si>
  <si>
    <t>3.4.- Costos de Apoyo Directo</t>
  </si>
  <si>
    <r>
      <t>No se consideraron costos de apoyo directo.</t>
    </r>
    <r>
      <rPr>
        <sz val="9"/>
        <color rgb="FF000000"/>
        <rFont val="Calibri"/>
        <family val="2"/>
        <scheme val="minor"/>
      </rPr>
      <t xml:space="preserve">
</t>
    </r>
    <r>
      <rPr>
        <sz val="11"/>
        <color rgb="FF000000"/>
        <rFont val="Calibri"/>
        <family val="2"/>
        <scheme val="minor"/>
      </rPr>
      <t xml:space="preserve">
</t>
    </r>
  </si>
  <si>
    <t>Retirada y eliminación</t>
  </si>
  <si>
    <t>4.3.- Retiro y Eliminación de Materiales Peligrosos</t>
  </si>
  <si>
    <t>No se consideraron estos costos en la evaluación económica.</t>
  </si>
  <si>
    <t>Cubierto por el proyecto</t>
  </si>
  <si>
    <t>Manteniemiento, repuestos, soporte on-site, capacitación y entrenamiento</t>
  </si>
  <si>
    <t>Año 20</t>
  </si>
  <si>
    <t>Año 19</t>
  </si>
  <si>
    <t>Año 18</t>
  </si>
  <si>
    <t>Año 17</t>
  </si>
  <si>
    <t>Año 16</t>
  </si>
  <si>
    <t>Años 15</t>
  </si>
  <si>
    <t>Año 14</t>
  </si>
  <si>
    <t>Año 13</t>
  </si>
  <si>
    <t>Años 12</t>
  </si>
  <si>
    <t>Año 11</t>
  </si>
  <si>
    <t>Año 10</t>
  </si>
  <si>
    <t>Años 9</t>
  </si>
  <si>
    <t>Año 8</t>
  </si>
  <si>
    <t>Año 7</t>
  </si>
  <si>
    <t>Años 6</t>
  </si>
  <si>
    <t>Año 5</t>
  </si>
  <si>
    <t>Año 3</t>
  </si>
  <si>
    <t>Años 3</t>
  </si>
  <si>
    <t>Año 2</t>
  </si>
  <si>
    <t>Año 1</t>
  </si>
  <si>
    <t>Costos ILS</t>
  </si>
  <si>
    <t>Bande Ancha Satelital</t>
  </si>
  <si>
    <t>Seguros infraestructura TI</t>
  </si>
  <si>
    <t xml:space="preserve"> Licencias - antivirus</t>
  </si>
  <si>
    <t xml:space="preserve">Costos recurentes </t>
  </si>
  <si>
    <t>totales</t>
  </si>
  <si>
    <t>Manteniemiento básico, repuestos,.</t>
  </si>
  <si>
    <t>mantenimiento programados</t>
  </si>
  <si>
    <t>Año 24</t>
  </si>
  <si>
    <t>Años 23</t>
  </si>
  <si>
    <t>Año 22</t>
  </si>
  <si>
    <t>Año 21</t>
  </si>
  <si>
    <t>Años 19</t>
  </si>
  <si>
    <t>Años 16</t>
  </si>
  <si>
    <t>Año 15</t>
  </si>
  <si>
    <t>Años 13</t>
  </si>
  <si>
    <t>Año 12</t>
  </si>
  <si>
    <t>Año 4</t>
  </si>
  <si>
    <t>Año 0</t>
  </si>
  <si>
    <t>Kit anual de repuestos (OLM)</t>
  </si>
  <si>
    <t>b</t>
  </si>
  <si>
    <t>Costo anual de Insumos para mantenimiento preventivo (OLM)</t>
  </si>
  <si>
    <t>a</t>
  </si>
  <si>
    <t>Sistema reabastecimiento automático a gran altura.</t>
  </si>
  <si>
    <t>2.3.2.10.</t>
  </si>
  <si>
    <t>Mantenimiento Programado (cada 8 años)</t>
  </si>
  <si>
    <t>c</t>
  </si>
  <si>
    <t>Aperturas automáticas Cypres 2 militar.</t>
  </si>
  <si>
    <t>2.3.16.</t>
  </si>
  <si>
    <t>Mantenimiento Programado (cada 5 años)</t>
  </si>
  <si>
    <t>Sistema de oxígeno personal.</t>
  </si>
  <si>
    <t>2.3.3.</t>
  </si>
  <si>
    <t>Sistema de carga botellas oxígeno personales.</t>
  </si>
  <si>
    <t>2.3.2.</t>
  </si>
  <si>
    <t>Consola de oxígeno colectivo para 8 pd.</t>
  </si>
  <si>
    <t>2.3.1.</t>
  </si>
  <si>
    <t>VALORES TOTALES FASE 1 Y 2</t>
  </si>
  <si>
    <t>CANTIDADES TOTALES 
FASE 1 Y 2</t>
  </si>
  <si>
    <t>VALOR
TOTAL</t>
  </si>
  <si>
    <t>CANTIDAD 
2025</t>
  </si>
  <si>
    <t>CANTIDAD 
2023</t>
  </si>
  <si>
    <t>CANTIDAD 
2022</t>
  </si>
  <si>
    <t>CANTIDAD 
2021</t>
  </si>
  <si>
    <t xml:space="preserve">VALOR UNITARIO O FACTORES DE CÁLCULO RELACIONADOS </t>
  </si>
  <si>
    <t>EQUIPAMIENTO</t>
  </si>
  <si>
    <t>Manteniemiento cada 5 años, en fábrica autorizada (Famae)</t>
  </si>
  <si>
    <t>mantenimiento programados anualizados</t>
  </si>
  <si>
    <t>costos mantenimiento 5 años</t>
  </si>
  <si>
    <t>Visor nocturno 4 tubos (Tipo GPNVG-18) (para 2 unidades).</t>
  </si>
  <si>
    <t>2.1.13.</t>
  </si>
  <si>
    <t>Visor nocturno binocular.</t>
  </si>
  <si>
    <t>2.1.4.</t>
  </si>
  <si>
    <t>Mira holográfica híbrida (inc. Mira óptica).</t>
  </si>
  <si>
    <t>2.1.3.</t>
  </si>
  <si>
    <t>Manteniemiento, repuestos, soporte.</t>
  </si>
  <si>
    <t>TOTAL</t>
  </si>
  <si>
    <t>Años 25</t>
  </si>
  <si>
    <t>Motor fuera de borda 55 HP.</t>
  </si>
  <si>
    <t>3.2.5.</t>
  </si>
  <si>
    <t>Motor fuera de Borda 40 HP.</t>
  </si>
  <si>
    <t>3.2.4.</t>
  </si>
  <si>
    <t>Bote de goma inflable inc. Kit inflado FC-470.</t>
  </si>
  <si>
    <t>3.2.3.</t>
  </si>
  <si>
    <t>Bote de goma inflable inc. Kit inflado MK5.</t>
  </si>
  <si>
    <t>3.2.2.</t>
  </si>
  <si>
    <t>EQUIPAMIENTO PARA INSERCIONES ANFIBIAS</t>
  </si>
  <si>
    <t>mantenimiento programado (inspectivo y correctivo)</t>
  </si>
  <si>
    <t>Traje seco de buceo.</t>
  </si>
  <si>
    <t>3.1.18.</t>
  </si>
  <si>
    <t>Compresor de aire portátil para buceo.</t>
  </si>
  <si>
    <t>3.1.24.</t>
  </si>
  <si>
    <t>Reguladores con consola y octupus (12 por Unidad).</t>
  </si>
  <si>
    <t>3.1.17.</t>
  </si>
  <si>
    <t>Compensador circuito cerrado.</t>
  </si>
  <si>
    <t>3.1.11.</t>
  </si>
  <si>
    <t>Equipo de circuito cerrado.</t>
  </si>
  <si>
    <t>3.1.10.</t>
  </si>
  <si>
    <t>|</t>
  </si>
  <si>
    <t>Mochilas estancas con sistema de compensación para 4 unidades.</t>
  </si>
  <si>
    <t>3.1.9.</t>
  </si>
  <si>
    <t>EQUIPAMIENTO INDIVIDUAL DE BUCEO</t>
  </si>
  <si>
    <t>EQUIPAMIENTO TRANSPORTE TÁCTICO FUERZAS ESPECIALES</t>
  </si>
  <si>
    <t>VALOR UNITARIO</t>
  </si>
  <si>
    <t>CANTIDADES TOTALES FASE 1 Y 2</t>
  </si>
  <si>
    <t>4.1.2.</t>
  </si>
  <si>
    <t>Tráiler de remolque para equipo.</t>
  </si>
  <si>
    <t>Mantenimiento programado 5 años</t>
  </si>
  <si>
    <t>4.1.3.</t>
  </si>
  <si>
    <t>Vehículo militar todo terreno, para patrullas de FF.EE. de  largo alcance, autonomía mínima 800 Km., transporte de 9 hombres con equipo.</t>
  </si>
  <si>
    <t>4.1.4.</t>
  </si>
  <si>
    <t>Vehículo militar todo terreno de apoyo logístico, para patrullas de FF.EE. de  largo alcance.</t>
  </si>
  <si>
    <t>4.1.5.</t>
  </si>
  <si>
    <t>Vehículo militar todo terreno, para patrullas de FF.EE. de  largo alcance,  transporte de 4 hombres con equipo.</t>
  </si>
  <si>
    <t>Mantenimiento anual</t>
  </si>
  <si>
    <t>4.2.1.</t>
  </si>
  <si>
    <t>Carpa propósito general (5,3 x 7,1 mts.).</t>
  </si>
  <si>
    <t>4.2.3.</t>
  </si>
  <si>
    <t>Vehículo mediano de mando y control 4x4.</t>
  </si>
  <si>
    <t>4.2.4.</t>
  </si>
  <si>
    <t>Vehículo multipropósito Liviano 4x4.</t>
  </si>
  <si>
    <t>4.2.5.</t>
  </si>
  <si>
    <t>Vehículo multipropósito Mediano 4x4.</t>
  </si>
  <si>
    <t>4.2.6.</t>
  </si>
  <si>
    <t>Vehículo multipropósito Pesado  4x4.</t>
  </si>
  <si>
    <t>4.2.7.</t>
  </si>
  <si>
    <t>Tráiler 1/4 Ton.</t>
  </si>
  <si>
    <t>4.2.8.</t>
  </si>
  <si>
    <t>Tráiler aljibe 1.500 Lts.</t>
  </si>
  <si>
    <t>4.2.9.</t>
  </si>
  <si>
    <t>Tráiler estación de rancho.</t>
  </si>
  <si>
    <t>4.2.10.</t>
  </si>
  <si>
    <t>Tráiler de carga 1.5 Ton.</t>
  </si>
  <si>
    <t>4.2.11.</t>
  </si>
  <si>
    <t>Tráiler congelador / mantenedor de alimentos.</t>
  </si>
  <si>
    <t>4.2.12.</t>
  </si>
  <si>
    <t>Vehículo de transporte de Carga 10 Ton.</t>
  </si>
  <si>
    <t>4.3.2.</t>
  </si>
  <si>
    <t>Carpa de sanidad inflable 2 cuerpos.</t>
  </si>
  <si>
    <t>4.3.3.</t>
  </si>
  <si>
    <t>Kit para implementación de atención hasta 1 paciente crítico.</t>
  </si>
  <si>
    <t>4.3.4.</t>
  </si>
  <si>
    <t>Ambulancia de apoyo vital avanzado.</t>
  </si>
  <si>
    <t>4.3.5.</t>
  </si>
  <si>
    <t>Equipo de reanimación y soporte vital avanzado para ambulancia.</t>
  </si>
  <si>
    <t>4.3.6.</t>
  </si>
  <si>
    <t>Equipo electrógeno diesel.</t>
  </si>
  <si>
    <t>OBTENCIÓN DE INFORMACIÓN</t>
  </si>
  <si>
    <t>5.1</t>
  </si>
  <si>
    <t>Cámara termal multifuncional (1 para 9 unidades de FF.EE.).</t>
  </si>
  <si>
    <t>Cambio de bateria 5 años</t>
  </si>
  <si>
    <t>5.2</t>
  </si>
  <si>
    <t>Cámara fotográfica de a lo menos 18 Mega Pixeles, con ISO de 100 a 12800.</t>
  </si>
  <si>
    <t>5.3</t>
  </si>
  <si>
    <t>Baterías de repuesto cámara fotográfica.</t>
  </si>
  <si>
    <t>Cambio batería cada 3 años</t>
  </si>
  <si>
    <t>5.4</t>
  </si>
  <si>
    <t>Disparador remoto cámara fotográfica.</t>
  </si>
  <si>
    <t>5.0 OBTENCIÓN DE INFORMACIÓN</t>
  </si>
  <si>
    <t>cambio baterias camara multi. (5años)</t>
  </si>
  <si>
    <t>Cambio baterias cámaras fotogrpaficas 3 años</t>
  </si>
  <si>
    <t>6.0</t>
  </si>
  <si>
    <t>Binocular 8x30 reticulado (4 por Unidad).</t>
  </si>
  <si>
    <t>Años 20</t>
  </si>
  <si>
    <t>Años 21</t>
  </si>
  <si>
    <t>Años 22</t>
  </si>
  <si>
    <t>Años 24</t>
  </si>
  <si>
    <t>7.1</t>
  </si>
  <si>
    <t>Mira telescópica p/ fusil de precisión 5-25x56.</t>
  </si>
  <si>
    <t>Manteniemiento mayor programado C/ 5 años</t>
  </si>
  <si>
    <t>7.4</t>
  </si>
  <si>
    <t>Mira nocturna in-line para fusil de precisión .50".</t>
  </si>
  <si>
    <t>7.7</t>
  </si>
  <si>
    <t>Fusil de precisión .50" Anti material.</t>
  </si>
  <si>
    <t>7.10</t>
  </si>
  <si>
    <t>Mira térmica in-line para fusil de precisión .50".</t>
  </si>
  <si>
    <t>8.1</t>
  </si>
  <si>
    <t xml:space="preserve">ROV (Vehículo operado a distancia). </t>
  </si>
  <si>
    <t>8.2</t>
  </si>
  <si>
    <t>Equipo de buceo profundo para contraminado.</t>
  </si>
  <si>
    <t>8.3</t>
  </si>
  <si>
    <t>Maleta de herramientas EOD no magnéticas.</t>
  </si>
  <si>
    <t>9.0</t>
  </si>
  <si>
    <t>Apoyo Bobardeo y FAN</t>
  </si>
  <si>
    <t>10.0</t>
  </si>
  <si>
    <t>Visor integrado localización objetivos alta precisión.</t>
  </si>
  <si>
    <t>11.1. EQUIPAMIENTO INFILTRACIÓN SUBMARINA</t>
  </si>
  <si>
    <t>11.1.1</t>
  </si>
  <si>
    <t>Arnés para izado y arriado de scooter (DPV), permite inserción helicóptero o buque.</t>
  </si>
  <si>
    <t>11.1.2</t>
  </si>
  <si>
    <t>Consola de navegación para scooter, con profundímetro, reloj y GPS.</t>
  </si>
  <si>
    <t>11.1.4</t>
  </si>
  <si>
    <t>Scooter con autonomía mínima de 6 millas.</t>
  </si>
  <si>
    <t>12.1</t>
  </si>
  <si>
    <t>Software para navegación y levantamiento submarino.</t>
  </si>
  <si>
    <t>12.2</t>
  </si>
  <si>
    <t>Generador portátil.</t>
  </si>
  <si>
    <t>12.3</t>
  </si>
  <si>
    <t>Sistema de comunicaciones submarinas.</t>
  </si>
  <si>
    <t>12.4</t>
  </si>
  <si>
    <t>Consola equipo submarino.</t>
  </si>
  <si>
    <t>12.5</t>
  </si>
  <si>
    <t>Underwater information system UWIS.</t>
  </si>
  <si>
    <t>año 25</t>
  </si>
  <si>
    <t>Comando, Control C4I</t>
  </si>
  <si>
    <t>FASE 1</t>
  </si>
  <si>
    <t>FASE 2</t>
  </si>
  <si>
    <t>FASE 1 Y 2</t>
  </si>
  <si>
    <t>CAPACIDAD</t>
  </si>
  <si>
    <t>BRECHA cantidad</t>
  </si>
  <si>
    <t>VALOR TOTAL (USD)</t>
  </si>
  <si>
    <t>1. SISTEMA COMANDO, CONTROL, COMUNICACIONES Y COMPUTACIÓN (C4I)</t>
  </si>
  <si>
    <t>1.1. MANDO Y CONTROL</t>
  </si>
  <si>
    <t>1.1.1. EQUIPAMIENTO PUESTO DE MANDO</t>
  </si>
  <si>
    <t>1.1.1.1.</t>
  </si>
  <si>
    <t>Carpa  inflable 42 mt2 (7X5,6mts), faja unión, puerta exclusa, liner interior.</t>
  </si>
  <si>
    <t>1.1.1.2.</t>
  </si>
  <si>
    <t>Redes mimetismo carpa.</t>
  </si>
  <si>
    <t>1.1.1.3.</t>
  </si>
  <si>
    <t>Trailer para carpa y accesorios 3,5 ton.</t>
  </si>
  <si>
    <t>1.1.1.4.</t>
  </si>
  <si>
    <t>Mobiliario para carpas, sillas, piso.</t>
  </si>
  <si>
    <t>1.1.1.5.</t>
  </si>
  <si>
    <t>Sist. Eléctrico, banco baterías, generador 8,5 kva, Iluminación exterior, inst. eléctrica.</t>
  </si>
  <si>
    <t>1.1.1.6.</t>
  </si>
  <si>
    <t>Climatización generador eléctrico 22 kva Trifásico, trayler 1,5 ton.</t>
  </si>
  <si>
    <t>1.1.1.7.</t>
  </si>
  <si>
    <t>Teléfonos IP.</t>
  </si>
  <si>
    <t>1.1.1.8.</t>
  </si>
  <si>
    <t>Laptop rugerizado puesto mando.</t>
  </si>
  <si>
    <t>1.1.1.9.</t>
  </si>
  <si>
    <t>Laptop rugerizado unidades pedestres.</t>
  </si>
  <si>
    <t>1.1.1.10.</t>
  </si>
  <si>
    <t>Sistema VCO.</t>
  </si>
  <si>
    <t>1.1.1.11.</t>
  </si>
  <si>
    <t>Carrete eléctricos 25 mts.</t>
  </si>
  <si>
    <t>1.1.2. EQUIPAMIENTO SOFTWARE MANDO Y CONTROL</t>
  </si>
  <si>
    <t>1.1.2.1,</t>
  </si>
  <si>
    <t>M&amp;c nivel operacional (nivel pm).</t>
  </si>
  <si>
    <t>1.1.2.2.</t>
  </si>
  <si>
    <t>M&amp;c nivel táctico (unidades tácticas).</t>
  </si>
  <si>
    <t>1.1.2.3.</t>
  </si>
  <si>
    <t>Caja de integración transportable rugged.</t>
  </si>
  <si>
    <t>1.1.2.4.</t>
  </si>
  <si>
    <t>Software de cálculo de propagación.</t>
  </si>
  <si>
    <t>1.1.2.5,</t>
  </si>
  <si>
    <t>Antivirus.</t>
  </si>
  <si>
    <t>1.1.2.6.</t>
  </si>
  <si>
    <t>Software chateo táctico (tacchat).</t>
  </si>
  <si>
    <t>Tráiler - cargo con generador.</t>
  </si>
  <si>
    <t>1.2. TELECOMUNICACIONES</t>
  </si>
  <si>
    <t>1.2.1. TRANSCEPTOR VHF - UHF</t>
  </si>
  <si>
    <t>1.2.1.1.</t>
  </si>
  <si>
    <t>Trans. VHF-UHF Vehicular 50 w desmontable a portátil, caja rugged.</t>
  </si>
  <si>
    <t>1.2.1.2.</t>
  </si>
  <si>
    <t>Trans. VHF-UHF Vehicular 50 w desmontable  a portátil.</t>
  </si>
  <si>
    <t>1.2.1.3.</t>
  </si>
  <si>
    <t>Trans. VHF-UHF Vehicular 50 w.</t>
  </si>
  <si>
    <t>1.2.1.4.</t>
  </si>
  <si>
    <t>Trans. VHF-UHF Portatil hand held 10 w con capacidad de video.</t>
  </si>
  <si>
    <t>1.2.2. VIDEO TÁCTICO</t>
  </si>
  <si>
    <t>1.2.2.1.</t>
  </si>
  <si>
    <t>Procesador de video táctico con batería x2.</t>
  </si>
  <si>
    <t>1.2.2.2.</t>
  </si>
  <si>
    <t>Software de video táctico.</t>
  </si>
  <si>
    <t>1.2.3. TRANSCEPTOR HF</t>
  </si>
  <si>
    <t>1.2.3.1.</t>
  </si>
  <si>
    <t>HF vehicular 150w.</t>
  </si>
  <si>
    <t>1.2.3.2.</t>
  </si>
  <si>
    <t>Hf manpack.</t>
  </si>
  <si>
    <t>1.2.4. SATCOM</t>
  </si>
  <si>
    <t>1.2.4.1</t>
  </si>
  <si>
    <t>Terminal transportable  ku/x.</t>
  </si>
  <si>
    <t>1.2.4.2</t>
  </si>
  <si>
    <t>Terminal portátil  ku/x.</t>
  </si>
  <si>
    <t>1.2.4.3.</t>
  </si>
  <si>
    <t>Terminal portátil militar data fonÍa.</t>
  </si>
  <si>
    <t>1.3.  INTEGRACIÓN E ILS</t>
  </si>
  <si>
    <t>1.3.1.</t>
  </si>
  <si>
    <t>Servidor raqueable.</t>
  </si>
  <si>
    <t>1.3.2.</t>
  </si>
  <si>
    <t>Splitter gps.</t>
  </si>
  <si>
    <t>1.3.3.</t>
  </si>
  <si>
    <t>Sistema de explotación de audio remoto.</t>
  </si>
  <si>
    <t>1.3.4.</t>
  </si>
  <si>
    <t>Integrador automático redes dos vías y públicas</t>
  </si>
  <si>
    <t>1.3.5.</t>
  </si>
  <si>
    <t>Integración C4I e ILS.</t>
  </si>
  <si>
    <t>TOTAL C4I</t>
  </si>
  <si>
    <t>Equipamiento Militar</t>
  </si>
  <si>
    <t>2.0. Equipamiento Militar</t>
  </si>
  <si>
    <t>2.1. EQUIPAMIENTO INDIVIDUAL FUERZAS ESPECIALES</t>
  </si>
  <si>
    <t>2.1.1.</t>
  </si>
  <si>
    <t>Supresor de ruido de fusil de asalto calibre 5,56 (solo para 6 unidades).</t>
  </si>
  <si>
    <t>2.1.2.</t>
  </si>
  <si>
    <t>Designador IR.</t>
  </si>
  <si>
    <t>2.1.5.</t>
  </si>
  <si>
    <t>Tenida anti IR Fibro Tex (4 por unidad de FF.EE.).</t>
  </si>
  <si>
    <t>2.1.6.</t>
  </si>
  <si>
    <t>Brújula militar tipo M1 (4 por Unidad).</t>
  </si>
  <si>
    <t>2.1.7.</t>
  </si>
  <si>
    <t>Carpa bipersonal (6 por Unidad de FF.EE. mas PPMM y PALE).</t>
  </si>
  <si>
    <t>2.1.8.</t>
  </si>
  <si>
    <t>GPS (cuatro por Unidad más 2 x PPMM y 2 x PALE).</t>
  </si>
  <si>
    <t>2.1.9.</t>
  </si>
  <si>
    <t>Porta fajas de 100 tiros cal 5,56.</t>
  </si>
  <si>
    <t>2.1.10.</t>
  </si>
  <si>
    <t>Mira óptica 1-6x retículo  cal 7,62 mm (1 por Unidad de FF.EE.).</t>
  </si>
  <si>
    <t>2.1.11.</t>
  </si>
  <si>
    <t>kit repuestos ametralladora.</t>
  </si>
  <si>
    <t>2.1.12.</t>
  </si>
  <si>
    <t>Kit para simunition ( 4 unidades).</t>
  </si>
  <si>
    <t>2.2. EQUIPO ESPECIAL FUERZAS ESPECIALES</t>
  </si>
  <si>
    <t>2.2.1.</t>
  </si>
  <si>
    <t>KIT de brechado mecánico. (para 2 unidades).</t>
  </si>
  <si>
    <t>2.2.2.</t>
  </si>
  <si>
    <t>Raquetas de marcha para nieve talón flexible.</t>
  </si>
  <si>
    <t>2.2.3.</t>
  </si>
  <si>
    <t>Polainas para marcha.</t>
  </si>
  <si>
    <t>2.2.4.</t>
  </si>
  <si>
    <t>Guante para clima frío.</t>
  </si>
  <si>
    <t>2.2.5.</t>
  </si>
  <si>
    <t>Bota de marcha para clima frío.</t>
  </si>
  <si>
    <t>2.2.6.</t>
  </si>
  <si>
    <t>Parka y pantalón Gore-Tex.</t>
  </si>
  <si>
    <t>2.2.7.</t>
  </si>
  <si>
    <t>Carpa alta montaña. (para dos personas)</t>
  </si>
  <si>
    <t>2.2.8.</t>
  </si>
  <si>
    <t>Balaclava.</t>
  </si>
  <si>
    <t>2.2.9.</t>
  </si>
  <si>
    <t>Cuerdas estáticas (50 mts).</t>
  </si>
  <si>
    <t>2.2.10.</t>
  </si>
  <si>
    <t>Cuerdas dinámicas (50 mts).</t>
  </si>
  <si>
    <t>2.2.11.</t>
  </si>
  <si>
    <t>Camilla de rescate de altura.</t>
  </si>
  <si>
    <t>2.2.12.</t>
  </si>
  <si>
    <t>Pala para nieve.</t>
  </si>
  <si>
    <t>2.2.13.</t>
  </si>
  <si>
    <t>Cordín (50 mts).</t>
  </si>
  <si>
    <t>2.2.14.</t>
  </si>
  <si>
    <t>Pantalón de abrigo 1ra. Capa.</t>
  </si>
  <si>
    <t>2.2.15.</t>
  </si>
  <si>
    <t>Camisa manga larga 1ra. Capa.</t>
  </si>
  <si>
    <t>2.2.16.</t>
  </si>
  <si>
    <t>Chaqueta intermedia 2da. Capa.</t>
  </si>
  <si>
    <t>2.2.17.</t>
  </si>
  <si>
    <t>Arnés simple.</t>
  </si>
  <si>
    <t>2.2.18.</t>
  </si>
  <si>
    <t>Arnés de rescate.</t>
  </si>
  <si>
    <t>2.2.19.</t>
  </si>
  <si>
    <t>Casco de escalada.</t>
  </si>
  <si>
    <t>2.2.20.</t>
  </si>
  <si>
    <t>Botas de doble finalidad.</t>
  </si>
  <si>
    <t>2.2.21.</t>
  </si>
  <si>
    <t>Placas PIU.</t>
  </si>
  <si>
    <t>2.2.22.</t>
  </si>
  <si>
    <t>Descensor en 8.</t>
  </si>
  <si>
    <t>2.2.23.</t>
  </si>
  <si>
    <t>Ascendedor.</t>
  </si>
  <si>
    <t>2.2.24.</t>
  </si>
  <si>
    <t>Descendedor simple.</t>
  </si>
  <si>
    <t>2.2.25.</t>
  </si>
  <si>
    <t>Conjunto Pro Nuts.</t>
  </si>
  <si>
    <t>2.2.26.</t>
  </si>
  <si>
    <t>Pack 5 Orbit.</t>
  </si>
  <si>
    <t>2.2.27.</t>
  </si>
  <si>
    <t>Mosquetones con seguro.</t>
  </si>
  <si>
    <t>2.2.28.</t>
  </si>
  <si>
    <t>Mosquetón sin seguro.</t>
  </si>
  <si>
    <t>2.2.29.</t>
  </si>
  <si>
    <t>Poleas TAMDEM.</t>
  </si>
  <si>
    <t>2.2.30.</t>
  </si>
  <si>
    <t>Estribos.</t>
  </si>
  <si>
    <t>2.2.31.</t>
  </si>
  <si>
    <t>Langer (línea de seguridad).</t>
  </si>
  <si>
    <t>2.2.32.</t>
  </si>
  <si>
    <t>Cordín (100 mts.).</t>
  </si>
  <si>
    <t>2.2.33.</t>
  </si>
  <si>
    <t>Cuerdas estáticas (100 mts.).</t>
  </si>
  <si>
    <t>2.2.34.</t>
  </si>
  <si>
    <t>Cuerdas dinámicas. (100 mts).</t>
  </si>
  <si>
    <t>2.2.35.</t>
  </si>
  <si>
    <t>Sondas.</t>
  </si>
  <si>
    <t>2.2.36.</t>
  </si>
  <si>
    <t>Tornillos para hielo.</t>
  </si>
  <si>
    <t>2.2.37.</t>
  </si>
  <si>
    <t>Piolet de hielo.</t>
  </si>
  <si>
    <t>2.2.38.</t>
  </si>
  <si>
    <t>2.2.39.</t>
  </si>
  <si>
    <t>Cocinillas.</t>
  </si>
  <si>
    <t>2.2.40.</t>
  </si>
  <si>
    <t>Camilla de rescate personal (dos por Unidad).</t>
  </si>
  <si>
    <t>2.2.41.</t>
  </si>
  <si>
    <t>Dispositivo de búsqueda.</t>
  </si>
  <si>
    <t>2.2.42.</t>
  </si>
  <si>
    <t>Ski para travesía.</t>
  </si>
  <si>
    <t>2.2.43.</t>
  </si>
  <si>
    <t>Fijación para ski de travesía.</t>
  </si>
  <si>
    <t>2.2.44.</t>
  </si>
  <si>
    <t>Bastón para ski.</t>
  </si>
  <si>
    <t>2.2.45.</t>
  </si>
  <si>
    <t>Pieles de randonee.</t>
  </si>
  <si>
    <t>2.2.46.</t>
  </si>
  <si>
    <t>Buzo térmico.</t>
  </si>
  <si>
    <t>2.3. EQUIPAMIENTO PARACAIDISMO FUERZAS ESPECIALES</t>
  </si>
  <si>
    <t>2.3.1. EQUIPAMIENTO PARAIDISMO LIBRE (H.A.H.O. Y H.A.L.O.)</t>
  </si>
  <si>
    <t>Sistema conexión  de máscara a casco balístico.</t>
  </si>
  <si>
    <t>2.3.5.</t>
  </si>
  <si>
    <t>Sistema de navegación personal para salto H.A.H.O. (incluye arnés, GPS y brújulas de navegación).</t>
  </si>
  <si>
    <t>2.3.6.</t>
  </si>
  <si>
    <t>Paracaídas principal TW9 (capacidad 225 kg.).</t>
  </si>
  <si>
    <t>2.3.7.</t>
  </si>
  <si>
    <t>Paracaídas de reserva TW9-R (capacidad 225 Kg.).</t>
  </si>
  <si>
    <t>2.3.8.</t>
  </si>
  <si>
    <t>Bolsa de transporte y almacenamiento de paracaídas.</t>
  </si>
  <si>
    <t>2.3.9.</t>
  </si>
  <si>
    <t>Corta líneas.</t>
  </si>
  <si>
    <t>2.3.10.</t>
  </si>
  <si>
    <t>Altímetro.</t>
  </si>
  <si>
    <t>2.3.11.</t>
  </si>
  <si>
    <t>Gafas de salto.</t>
  </si>
  <si>
    <t>2.3.12.</t>
  </si>
  <si>
    <t>Arnés de carga SG7-100.</t>
  </si>
  <si>
    <t>2.3.13.</t>
  </si>
  <si>
    <t>Funda protectora de armamento (Tipo M-1950).</t>
  </si>
  <si>
    <t>2.3.14.</t>
  </si>
  <si>
    <t>Conjunto de marcación nocturna (linternas led).</t>
  </si>
  <si>
    <t>2.3.15.</t>
  </si>
  <si>
    <t>Estación meteorológica de bolsillo.</t>
  </si>
  <si>
    <t>2.3.17.</t>
  </si>
  <si>
    <t>Bolso empacador c/accesorios (large rigger kit).</t>
  </si>
  <si>
    <t>2.3.18.</t>
  </si>
  <si>
    <t>Strober IR paracaidismo.</t>
  </si>
  <si>
    <t>2.3.2. EQUIPAMIENTO PARACAIDISMO BÀSICO MILITAR</t>
  </si>
  <si>
    <t>2.3.2.1.</t>
  </si>
  <si>
    <t>Conjunto de marcación diurna.</t>
  </si>
  <si>
    <t>2.3.2.2.</t>
  </si>
  <si>
    <t>Paracaídas principal (capacidad 400 lbs.).</t>
  </si>
  <si>
    <t>2.3.2.3.</t>
  </si>
  <si>
    <t>Paracaídas de rescate con cuchillo.</t>
  </si>
  <si>
    <t>2.3.2.4.</t>
  </si>
  <si>
    <t>Arnés de carga "H".</t>
  </si>
  <si>
    <t>2.3.2.5.</t>
  </si>
  <si>
    <t>Paracaídas de carga G13 (500 Lbs).</t>
  </si>
  <si>
    <t>2.3.2.6.</t>
  </si>
  <si>
    <t>Envase A-21.</t>
  </si>
  <si>
    <t>2.3.2.7.</t>
  </si>
  <si>
    <t>Envase A-22.</t>
  </si>
  <si>
    <t>2.3.2.8.</t>
  </si>
  <si>
    <t>Correas tipo 13.</t>
  </si>
  <si>
    <t>2.3.29.</t>
  </si>
  <si>
    <t>Sistema liberación cúpula Atlas.</t>
  </si>
  <si>
    <t xml:space="preserve">TOTAL EQUIPAMIENTO MILITAR </t>
  </si>
  <si>
    <t>Infiltración</t>
  </si>
  <si>
    <t>3.0. INFILTRACIÓN</t>
  </si>
  <si>
    <t>3.1.  EQUIPAMIENTO INDIVIDUAL DE BUCEO</t>
  </si>
  <si>
    <t>3.1.1.</t>
  </si>
  <si>
    <t>Traje de buceo 4/3 mm.</t>
  </si>
  <si>
    <t>3.1.2.</t>
  </si>
  <si>
    <t>Máscara de buceo.</t>
  </si>
  <si>
    <t>3.1.3.</t>
  </si>
  <si>
    <t>Par de guantes de buceo.</t>
  </si>
  <si>
    <t>3.1.4.</t>
  </si>
  <si>
    <t>Cinturón de buceo.</t>
  </si>
  <si>
    <t>3.1.5.</t>
  </si>
  <si>
    <t>Par de botines.</t>
  </si>
  <si>
    <t>3.1.6.</t>
  </si>
  <si>
    <t>Cuchillo de buceo.</t>
  </si>
  <si>
    <t>3.1.7.</t>
  </si>
  <si>
    <t>Par de aletas de buceo.</t>
  </si>
  <si>
    <t>3.1.8.</t>
  </si>
  <si>
    <t>Caperuza de buceo.</t>
  </si>
  <si>
    <t>3.1.12.</t>
  </si>
  <si>
    <t>Casco fast para buceo (para 2 unidades).</t>
  </si>
  <si>
    <t>3.1.13.</t>
  </si>
  <si>
    <t>Tablas de navegación (TAC 300 / NAVSUB).</t>
  </si>
  <si>
    <t>3.1.14.</t>
  </si>
  <si>
    <t>GPS de buceo.</t>
  </si>
  <si>
    <t>3.1.15.</t>
  </si>
  <si>
    <t>Anemómetro digital.</t>
  </si>
  <si>
    <t>3.1.16.</t>
  </si>
  <si>
    <t>Strober (Luz destellante).</t>
  </si>
  <si>
    <t>3.1.19.</t>
  </si>
  <si>
    <t>Computador de buceo (profundímetro digital).</t>
  </si>
  <si>
    <t>3.1.20.</t>
  </si>
  <si>
    <t>Cuchillo de buceo anti magnético.</t>
  </si>
  <si>
    <t>3.1.21.</t>
  </si>
  <si>
    <t>Pares de aletas de buceo para traje seco.</t>
  </si>
  <si>
    <t>3.1.22.</t>
  </si>
  <si>
    <t>Pares zapatos de buceo para traje seco.</t>
  </si>
  <si>
    <t>3.1.23.</t>
  </si>
  <si>
    <t>3.2. EQUIPAMIENTO INSERCIONES ANFIBIA</t>
  </si>
  <si>
    <t>3.2.1.</t>
  </si>
  <si>
    <t>Bolsa estanco para motor 40HP.</t>
  </si>
  <si>
    <t>3.2.6.</t>
  </si>
  <si>
    <t>Estanques de 25 lts. (3 x motor).</t>
  </si>
  <si>
    <t>TOTAL INFILTRACIÓN</t>
  </si>
  <si>
    <t>Logística</t>
  </si>
  <si>
    <t>4.0. LOGÍSTICA</t>
  </si>
  <si>
    <t>4.1. EQUIPAMIENTO TRANSNPORTE TÁCTICO FUERZAS ESPECIALES</t>
  </si>
  <si>
    <t>4.1.1.</t>
  </si>
  <si>
    <t>Red de mimetismo 2D 2x3 mts.</t>
  </si>
  <si>
    <t>4.1.6.</t>
  </si>
  <si>
    <t>Adaptadores para montar armamento orgánico de las unidades en los vehículos.</t>
  </si>
  <si>
    <t>4.1.7.</t>
  </si>
  <si>
    <t>Sistema de navegación satelital incorporado para vehículos.</t>
  </si>
  <si>
    <t>4.1.8.</t>
  </si>
  <si>
    <t>Redes de mimetismo multizona 3D  para vehículos.</t>
  </si>
  <si>
    <t>4.2. EQUIPAMIENTO SOPORTE LOGÌSTICO FUERZAS ESPECIALES</t>
  </si>
  <si>
    <t>4.2.2.</t>
  </si>
  <si>
    <t>Redes de mimetismo 3D, 12x 25 mts., multizona, con tecnología IR y Termal con 8 soportes.</t>
  </si>
  <si>
    <t>4.3. EQUIPAMIENTO SANIDAD FUERZAS ESPECIALES</t>
  </si>
  <si>
    <t>4.3.1.</t>
  </si>
  <si>
    <t>Morral de primeros auxilios (1 por Unidad).</t>
  </si>
  <si>
    <t>TOTAL LOGÍSTICA</t>
  </si>
  <si>
    <t>Obtención información</t>
  </si>
  <si>
    <t>5.0. OBTENCIÓN DE INFORMACIÓN</t>
  </si>
  <si>
    <t>5.5</t>
  </si>
  <si>
    <t>Lente EF F 100-400 F/4,5-5,6L ISU II.</t>
  </si>
  <si>
    <t>5.6</t>
  </si>
  <si>
    <t>Adaptador de visor nocturno, para ser utilizados con los diferentes lentes de la cámara.</t>
  </si>
  <si>
    <t>5.7</t>
  </si>
  <si>
    <t>Estuche protector de cámara.</t>
  </si>
  <si>
    <t>5.8</t>
  </si>
  <si>
    <t>Tarjeta de memoria CF-64 Gigas.</t>
  </si>
  <si>
    <t>5.9</t>
  </si>
  <si>
    <t>Caja con capacidad de transporte de todos los accesorios de cámara para Reconocimiento Especial.</t>
  </si>
  <si>
    <t>5.10</t>
  </si>
  <si>
    <t>Trípode para cámara aluminio.</t>
  </si>
  <si>
    <t>TOTAL OBTENCIÓN INFORMACIÓN</t>
  </si>
  <si>
    <t>Determinación de efectos</t>
  </si>
  <si>
    <t>6.0. DETERMINACIÓN DE EFECTOS</t>
  </si>
  <si>
    <t>Determinación Efectos</t>
  </si>
  <si>
    <t>TOTAL DETERMINACIÓN EFECTOS</t>
  </si>
  <si>
    <t>Ataque Precisión</t>
  </si>
  <si>
    <t>7.0. ATAQUE DE PRECISIÓN</t>
  </si>
  <si>
    <t>VALOR TOTAL</t>
  </si>
  <si>
    <t>7.2</t>
  </si>
  <si>
    <t>Kit anillo fijación para mira telescópica.</t>
  </si>
  <si>
    <t>7.3</t>
  </si>
  <si>
    <t>Kit supresor de ruido .338".</t>
  </si>
  <si>
    <t>7.5</t>
  </si>
  <si>
    <t>Estación meteorológica militar.</t>
  </si>
  <si>
    <t>7.6</t>
  </si>
  <si>
    <t>Mochila c/ capacidad transporte de fusil de precisión .50".</t>
  </si>
  <si>
    <t>7.8</t>
  </si>
  <si>
    <t>Cargador de 10 tiros p/ fusil precisión .50".</t>
  </si>
  <si>
    <t>7.9</t>
  </si>
  <si>
    <t>Kit supresor de ruido .50".</t>
  </si>
  <si>
    <t>7.11</t>
  </si>
  <si>
    <t>Mochila c/ capacidad transporte de fusil de precisión .338".</t>
  </si>
  <si>
    <t>TOTAL ATAQUE PRECISIÓN</t>
  </si>
  <si>
    <t>Operaciones de buceo (Intervención)</t>
  </si>
  <si>
    <t>8.0.OPERACIONES DE BUCEO</t>
  </si>
  <si>
    <t>TOTAL OP. BUCEO INTEVENCIÓN</t>
  </si>
  <si>
    <t>Operaciones de rebúsqueda</t>
  </si>
  <si>
    <t>9.0. OPERACIONES DE REBÚSQUEDA</t>
  </si>
  <si>
    <t>TOTAL OP. REBÚSQUEDA</t>
  </si>
  <si>
    <t>Apoyo de bombardeo y FAN</t>
  </si>
  <si>
    <t>10.0. APOYO DE BOMBARDEO Y FAN</t>
  </si>
  <si>
    <t>TOTAL AP. BOMBARDEO Y FAN</t>
  </si>
  <si>
    <t>Visita y Abordaje buques</t>
  </si>
  <si>
    <t>11.0. VISITA Y ABORDAJE BUQUES</t>
  </si>
  <si>
    <t>11.1.3</t>
  </si>
  <si>
    <t>Adaptador de scooter a tubo lanza torpedo, equipo para transportar scooter en SSK.</t>
  </si>
  <si>
    <t>TOTAL VISITA Y ABORDAJE</t>
  </si>
  <si>
    <t>Apoyo Oper. Contraminado</t>
  </si>
  <si>
    <t>12.0. APOYO OPERACIONES DE CONTRAMINADO</t>
  </si>
  <si>
    <t>TOTAL APOYO OP. CONTRAMINADO</t>
  </si>
  <si>
    <t>TOTALVALOR POR FASE</t>
  </si>
  <si>
    <t xml:space="preserve">ITEM </t>
  </si>
  <si>
    <t>PARÁMETRO</t>
  </si>
  <si>
    <t>Fuente recursos</t>
  </si>
  <si>
    <t>VAC</t>
  </si>
  <si>
    <t>Año 2022</t>
  </si>
  <si>
    <t>Año 2023</t>
  </si>
  <si>
    <t>Año 2024</t>
  </si>
  <si>
    <t>Año 2025</t>
  </si>
  <si>
    <t>Año 2026</t>
  </si>
  <si>
    <t>Año 2027</t>
  </si>
  <si>
    <t>Año 2028</t>
  </si>
  <si>
    <t>Año 2029</t>
  </si>
  <si>
    <t>Año 2030</t>
  </si>
  <si>
    <t>Año 2031</t>
  </si>
  <si>
    <t>Año 2032</t>
  </si>
  <si>
    <t>Año 2033</t>
  </si>
  <si>
    <t>Año 2034</t>
  </si>
  <si>
    <t>Año 2035</t>
  </si>
  <si>
    <t>Año 2036</t>
  </si>
  <si>
    <t>Año 2037</t>
  </si>
  <si>
    <t>Año 2038</t>
  </si>
  <si>
    <t>Año 2039</t>
  </si>
  <si>
    <t>Año 2040</t>
  </si>
  <si>
    <t>Año 2041</t>
  </si>
  <si>
    <t>Año 2042</t>
  </si>
  <si>
    <t>Año 2043</t>
  </si>
  <si>
    <t>Año 2044</t>
  </si>
  <si>
    <t>Año 2045</t>
  </si>
  <si>
    <t>Año 2046</t>
  </si>
  <si>
    <t>TOTAL ANUAL</t>
  </si>
  <si>
    <t>1.- INVESTIGACIÓN Y DESARROLLO</t>
  </si>
  <si>
    <t>2.- INVERSIÓN INICIAL</t>
  </si>
  <si>
    <t xml:space="preserve">         2.1.- Producción</t>
  </si>
  <si>
    <t xml:space="preserve">         2.2.- Adquisición</t>
  </si>
  <si>
    <t>AFL Ppto. Armada</t>
  </si>
  <si>
    <t>3.- OPERACIÓN Y APOYO</t>
  </si>
  <si>
    <t xml:space="preserve">          3.1.- Costo de Personal que Opera la MOP</t>
  </si>
  <si>
    <t xml:space="preserve">          3.2.- Costos de Operación de la MOP</t>
  </si>
  <si>
    <t xml:space="preserve">          3.3.- Costos de Mantenimiento</t>
  </si>
  <si>
    <t>3.3.1.- Mantenimiento Programado</t>
  </si>
  <si>
    <t>3.3.2.-Mantenimiento No Programado</t>
  </si>
  <si>
    <t>3.3.4.- Otro Mantenimiento</t>
  </si>
  <si>
    <t>4.- RETIRO</t>
  </si>
  <si>
    <t xml:space="preserve">CAE </t>
  </si>
  <si>
    <t>Planilla de Costo de Ciclo de Vida Proyecto DECAPFE
Alternativa única de solución.- ADQUIRIR EQUIPAMIENTO PARA LAS FFEE
Valores en USD, del año 2021.</t>
  </si>
  <si>
    <t>Ley 21.174</t>
  </si>
  <si>
    <t>Año 2021</t>
  </si>
  <si>
    <t>AÑO 0</t>
  </si>
  <si>
    <t>AÑO 1</t>
  </si>
  <si>
    <t>AÑO 2</t>
  </si>
  <si>
    <t>AÑO 3</t>
  </si>
  <si>
    <t>AÑO 4</t>
  </si>
  <si>
    <t>AÑO 5</t>
  </si>
  <si>
    <t>AÑO 6</t>
  </si>
  <si>
    <t>AÑO 7</t>
  </si>
  <si>
    <t>AÑO 8</t>
  </si>
  <si>
    <t>AÑO 9</t>
  </si>
  <si>
    <t>AÑO 10</t>
  </si>
  <si>
    <t>AÑO 11</t>
  </si>
  <si>
    <t>AÑO 12</t>
  </si>
  <si>
    <t>AÑO 13</t>
  </si>
  <si>
    <t>AÑO 14</t>
  </si>
  <si>
    <t>AÑO 15</t>
  </si>
  <si>
    <t>AÑO 16</t>
  </si>
  <si>
    <t>AÑO 17</t>
  </si>
  <si>
    <t>AÑO 18</t>
  </si>
  <si>
    <t>AÑO 19</t>
  </si>
  <si>
    <t>AÑO 20</t>
  </si>
  <si>
    <t>AÑO 21</t>
  </si>
  <si>
    <t>AÑO 22</t>
  </si>
  <si>
    <t>AÑO 23</t>
  </si>
  <si>
    <t>AÑO 24</t>
  </si>
  <si>
    <t>AÑO 25</t>
  </si>
  <si>
    <t>No Corresponden</t>
  </si>
  <si>
    <t>No apreciable y asumidos por respectivas DDTT, de acuerdo a su estadística de los sistemas.</t>
  </si>
  <si>
    <t>mantenimiento equipos de acuerdo a datos del proveedor y estadística existente</t>
  </si>
  <si>
    <t>Estimación basada en datos Comfues, proveedores y respectivas DDTT.</t>
  </si>
  <si>
    <t>No existen variaciones refente al ST21 COMFUES</t>
  </si>
  <si>
    <t>Sólo gastos relacionados al sistemas C4I, en servicios de banda ancha satelital, seguros infraestructura TI y licencias y antivirus.</t>
  </si>
  <si>
    <t>Adquisición de sistemas y equipamientos DECAPFE</t>
  </si>
  <si>
    <t>AFL Ppto. Armada u otros provenientes de FFG o PDM en el caso corresponda</t>
  </si>
  <si>
    <t>Por definir, en caso corresponda</t>
  </si>
  <si>
    <t>1. COMANDO, CONTROL, COMUNICACIONES Y COMPUTACIÓN</t>
  </si>
  <si>
    <t>1.1 MANDO Y CONTROL</t>
  </si>
  <si>
    <t>SUBTOTALES</t>
  </si>
  <si>
    <t>Alternativa única</t>
  </si>
  <si>
    <t>Año</t>
  </si>
  <si>
    <t>Valores en USD</t>
  </si>
  <si>
    <t>Subtotal Ley 21.174</t>
  </si>
  <si>
    <t>Adquisición de equipamiento para FF.EE.</t>
  </si>
  <si>
    <t>Valor contrato adquisición equipamiento Fuerzas Especiales, financiados por Ley 21.174</t>
  </si>
  <si>
    <t>Total AFL Mantenimiento</t>
  </si>
  <si>
    <t>1.2.TELECOMUNICACIONES</t>
  </si>
  <si>
    <t>Mantenimiento de la MOP, financiado por AFL</t>
  </si>
  <si>
    <t>Total Fase Adquisición + mantenimiento</t>
  </si>
  <si>
    <t xml:space="preserve">No habrá variaciones incrementales en los presupuestos operacionales del Comfues, ya que los equipos que llegarían no requieren consumos, e insumos específicos extraordinarios. Sólo en el caso del Subsistema C4I, que habrán gastos específicos de banda ancha satelital. seguros infraestructura TI y licencias y antivirus.
</t>
  </si>
  <si>
    <t>Sonar de rebusqueda lateral remolcado.</t>
  </si>
  <si>
    <t>RESUMEN INVERSIÓN INICIAL FASE 1 Y 2.</t>
  </si>
  <si>
    <t>Laptop semi-rugerizado.</t>
  </si>
  <si>
    <t>Proyector.</t>
  </si>
  <si>
    <t>Impresora.</t>
  </si>
  <si>
    <t>Televisión 60" con atril.</t>
  </si>
  <si>
    <t>Sistema STI para terreno.</t>
  </si>
  <si>
    <t>Redes de mimetismo tráiler – cargo.</t>
  </si>
  <si>
    <t>Vehicular 50 w desmontable a portátil, caja rugged.</t>
  </si>
  <si>
    <t>Vehicular 50 w desmontable  a portátil.</t>
  </si>
  <si>
    <t>Vehicular 50 w.</t>
  </si>
  <si>
    <t>Portatil hand held 10 w con capacidad de video.</t>
  </si>
  <si>
    <t>Accesorio de audio fuerzas especiales</t>
  </si>
  <si>
    <t>HF base 150w con antena fija.</t>
  </si>
  <si>
    <t>Radio MM.OO. táctico.</t>
  </si>
  <si>
    <t>Antenas con mástil transportable.</t>
  </si>
  <si>
    <t>Router raqueable.</t>
  </si>
  <si>
    <t>Switch raqueable.</t>
  </si>
  <si>
    <t>Integración C4I.</t>
  </si>
  <si>
    <t>Fusil de asalto calibre 5,56 mm.</t>
  </si>
  <si>
    <t>Cargadores de 30 tiros cal 5,56 mm (8 por cada armamento).</t>
  </si>
  <si>
    <t>Lanza Granadas 40 mm (4 por Unidad de FF.EE.).</t>
  </si>
  <si>
    <t>Mortero de 60 mm tipo comando. (1 por Unidad de FF.EE.).</t>
  </si>
  <si>
    <t>TOTAL EQUIPAMIENTO MILITAR (A)</t>
  </si>
  <si>
    <t>Cascos  de protección para salto de paracaidismo.</t>
  </si>
  <si>
    <t>Máquina de coser doble arrastre.</t>
  </si>
  <si>
    <t>Maquina industrial de costura pesada.</t>
  </si>
  <si>
    <t>Mesas de empaque de 15 metros.</t>
  </si>
  <si>
    <t>TOTAL EQUIPAMIENTO MILITAR (B)</t>
  </si>
  <si>
    <t>TOTAL EQUIPAMIENTO MILITAR (A+B)</t>
  </si>
  <si>
    <t>Depth Sounder (medidor de profundidad).</t>
  </si>
  <si>
    <t>Kayak militar (2 unidades).</t>
  </si>
  <si>
    <t>Tráiler para vehículo de apoyo logístico.</t>
  </si>
  <si>
    <t>Sonar de rebusqueda lateral remolcado</t>
  </si>
  <si>
    <t>2.3.2. EQUIPAMIENTO PARACAIDISMO BÁSICO MILITAR</t>
  </si>
  <si>
    <t>4.2. EQUIPAMIENTO SOPORTE LOGÍSTICO FUERZAS ESPECIALES</t>
  </si>
  <si>
    <t>Crampones para hielo.</t>
  </si>
  <si>
    <t>Sistema fijación para mira telescópica.</t>
  </si>
  <si>
    <t>MANTENIMIENTO/ COSTO ADQUISICIÓN
 (EN 20 AÑOS CCV)</t>
  </si>
  <si>
    <t>VALORES TOTALES</t>
  </si>
  <si>
    <t>SUBSISTEMAS</t>
  </si>
  <si>
    <t xml:space="preserve">EQUIPAMIENTO MILITAR </t>
  </si>
  <si>
    <t xml:space="preserve"> INFILTRACIÓN</t>
  </si>
  <si>
    <t>LOGÍSTICA</t>
  </si>
  <si>
    <t>OBTENCIÓN INFORMACIÓN</t>
  </si>
  <si>
    <t>DETERMINACIÓN EFECTOS</t>
  </si>
  <si>
    <t>ATAQUE PRECISIÓN</t>
  </si>
  <si>
    <t>VISITA Y ABORDAJE</t>
  </si>
  <si>
    <t>COMANDO, CONTROL, COMUNICACIONES, COMPUTACIÓN E INTELIGENCIA</t>
  </si>
  <si>
    <t xml:space="preserve"> OPERACIONES BUCEO INTEVENCIÓN</t>
  </si>
  <si>
    <t>OPERACIONES REBÚSQUEDA</t>
  </si>
  <si>
    <t>APOYO BOMBARDEO Y FAN</t>
  </si>
  <si>
    <t xml:space="preserve"> APOYO OPERACIONES CONTRAMINADO</t>
  </si>
  <si>
    <t>FUERA DE MARCO</t>
  </si>
  <si>
    <t>FASE 3</t>
  </si>
  <si>
    <t>VALOR TOTAL INVERSIÓN INICIAL</t>
  </si>
  <si>
    <t>MONTO APROBADO</t>
  </si>
  <si>
    <t>9.1</t>
  </si>
  <si>
    <t>10.1</t>
  </si>
  <si>
    <t>MONTO APROBADO
INVERSIÓN INICIAL</t>
  </si>
  <si>
    <t>solo efecto cálculo</t>
  </si>
  <si>
    <t>Mantenimiento de la MOP, financiado por AFL ST 22</t>
  </si>
  <si>
    <t>Correción de Ajuste Promedio (-)</t>
  </si>
  <si>
    <t>Valor de ajuste Promedio (por sistema)</t>
  </si>
  <si>
    <t>SUBTOTALES (c/ factor ajuste)</t>
  </si>
  <si>
    <t>promedio</t>
  </si>
  <si>
    <t>2.0. Equipamiento Militar (continuación)</t>
  </si>
  <si>
    <t xml:space="preserve">EN AMARILLO LOS VALORES RFI </t>
  </si>
  <si>
    <t>2021+ 2022</t>
  </si>
  <si>
    <t>Comando, Control, Comunicaciones, Computación e Inteligencia</t>
  </si>
  <si>
    <t>TOTAL FASE 1</t>
  </si>
  <si>
    <t>1. Comando, Control, Comunicaciones, Computación e Inteligencia</t>
  </si>
  <si>
    <t>2. Equipamiento Militar</t>
  </si>
  <si>
    <t>3. Infiltración</t>
  </si>
  <si>
    <t>4. Logística</t>
  </si>
  <si>
    <t>5. Obtención de información</t>
  </si>
  <si>
    <t>6. Determinación de efectos</t>
  </si>
  <si>
    <t>8. Operaciones de buceo</t>
  </si>
  <si>
    <t>9. Operaciones de rebúsqueda</t>
  </si>
  <si>
    <t>10. Apoyo de bombardeo y FAN</t>
  </si>
  <si>
    <t>11. Visita y abordaje de buques</t>
  </si>
  <si>
    <t>12. Apoyo operaciones de contraminado</t>
  </si>
  <si>
    <t>7. Ataque de precisión</t>
  </si>
  <si>
    <t>TODOS LOS SISTEMAS</t>
  </si>
  <si>
    <t>MATERIAL</t>
  </si>
  <si>
    <t>COSTOS</t>
  </si>
  <si>
    <t>PROMEDIO</t>
  </si>
  <si>
    <t>Rendimiento Operacional</t>
  </si>
  <si>
    <t>Peso relativo por Capacidad</t>
  </si>
  <si>
    <t>Peso relativo por Concepto</t>
  </si>
  <si>
    <t>A</t>
  </si>
  <si>
    <t>B</t>
  </si>
  <si>
    <t>ACCIÓN DIRECTA</t>
  </si>
  <si>
    <t>Comando, Control, Comunicaciones, Computación e Inteligencia (C4I)</t>
  </si>
  <si>
    <t>Ataque mediante armamento de presición a mediana distancia</t>
  </si>
  <si>
    <t>Apoyo de bombardeo y fuego de apoyo Naval</t>
  </si>
  <si>
    <t>Visita, abordaje y captura de buques no cooperativos y contactos hostiles de interés</t>
  </si>
  <si>
    <t>VIGILANCIA Y RECONOCIMIENTO</t>
  </si>
  <si>
    <t>Obtención de información sibre adversario, terreno y tiempo atmosférico</t>
  </si>
  <si>
    <t>Determinación de efectos logrados posterior a ataques y efectos colaterales terrestres, superficie y submarinos</t>
  </si>
  <si>
    <t>CONTRAMINADO</t>
  </si>
  <si>
    <t>Apoyo operaciones contraminado</t>
  </si>
  <si>
    <t>Operaciones de rebúsqueda con sonar remolcado y autónomo</t>
  </si>
  <si>
    <t>Totales</t>
  </si>
  <si>
    <t>Peso relativo por Capacidad (dentro de c/ Rol)</t>
  </si>
  <si>
    <t>C</t>
  </si>
  <si>
    <t>E</t>
  </si>
  <si>
    <t>F</t>
  </si>
  <si>
    <t>G</t>
  </si>
  <si>
    <t>H</t>
  </si>
  <si>
    <t>Adquisición Equipo</t>
  </si>
  <si>
    <t>Disminución brecha</t>
  </si>
  <si>
    <t>I</t>
  </si>
  <si>
    <t>J</t>
  </si>
  <si>
    <t>K</t>
  </si>
  <si>
    <t>L</t>
  </si>
  <si>
    <t>PESO ROL</t>
  </si>
  <si>
    <t>TOTALFASE 1</t>
  </si>
  <si>
    <t>COBERTURA DE LA BRECHA, DE ACUERDO A ADQUISICIÓN PLANIFICADA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</si>
  <si>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</si>
  <si>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</si>
  <si>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</si>
  <si>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</si>
  <si>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</si>
  <si>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</si>
  <si>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</si>
  <si>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</si>
  <si>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</si>
  <si>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</si>
  <si>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</si>
  <si>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</si>
  <si>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Suma total =</t>
  </si>
  <si>
    <t>MARCA/ MODELO</t>
  </si>
  <si>
    <t>NÚMERO STOCK ARMADA</t>
  </si>
  <si>
    <t>NÚMERO STOCK OTAN</t>
  </si>
  <si>
    <t>PRECIO UNITARIO ÚLTIMA COMPRA</t>
  </si>
  <si>
    <t>PRECIO TOTAL CONSIDERADO</t>
  </si>
  <si>
    <t>PART N° 904615-002</t>
  </si>
  <si>
    <t>05 MOSKITO TI CON ACCESORIOS</t>
  </si>
  <si>
    <t>DIFERENCIA</t>
  </si>
  <si>
    <t>SERIE: 40283498    NSN: AR0001002</t>
  </si>
  <si>
    <t>STOCK : AR0007629; PARTE : TKVT0201ARTIC450EART</t>
  </si>
  <si>
    <t>Mira nocturna in-line para fusil de precisión .338".</t>
  </si>
  <si>
    <t>SOLICITAR A COMFUES</t>
  </si>
  <si>
    <t xml:space="preserve">CRABE </t>
  </si>
  <si>
    <t>MARCA SCORPION BCD</t>
  </si>
  <si>
    <t>PROCESO RFP</t>
  </si>
  <si>
    <t xml:space="preserve">LEUPOLD MARK 5HD 7-35X56 M5C3 ILLUM. FFP TREMOR 3. MIL. </t>
  </si>
  <si>
    <t>MARCA SPUHR 35 MM. MODELO: QDP-5002 Ø35 H38MM 0MIL QDP</t>
  </si>
  <si>
    <t>**MIRA TERMICA IN LINE** MARCA: CASSIDIAN  MODELO: IVR 900 ; PROVEEDOR: CASSIDIAN AND EADS COMPANY</t>
  </si>
  <si>
    <t>HONDA EU 22i</t>
  </si>
  <si>
    <t>MAGNACOM DE LA EMPRESA OTS</t>
  </si>
  <si>
    <t>SISTEMA ACCURACY .50</t>
  </si>
  <si>
    <t>PARA FUSIL ACCURACY .50</t>
  </si>
  <si>
    <t>EBERLESTOCK G4 OPERATOR MULTICAM</t>
  </si>
  <si>
    <t>SOLICITAR MODELO MARINFA</t>
  </si>
  <si>
    <t>KESTREL 5700 Elite Weathr Meter with Applied Ballistic with Link, INCLUIR REPETIDOR DE APLICACIÓN BALÍSTICA GARMIN FORETREX 701</t>
  </si>
  <si>
    <t>PARA FUSIL ACCURACY .338</t>
  </si>
  <si>
    <t xml:space="preserve">DEFINIR POR COMFUES/ UCM </t>
  </si>
  <si>
    <t>DEFINIR POR COMFUES</t>
  </si>
  <si>
    <t>DEFINIR POR COMFUES
EJEMPLOS: NIKON D780, CANON 7D´S</t>
  </si>
  <si>
    <t>ELCAN SPECTER 1-4X, LOW PROFILE BATTERY CAP.</t>
  </si>
  <si>
    <t>STEINER Eoptics Inc. D-BALL A-3 V2.</t>
  </si>
  <si>
    <t>Kit para ejercicios doble acción, tipo simunition ( 4 unidades).</t>
  </si>
  <si>
    <t>Aperturas automáticas, tipo Cypres 2 militar.</t>
  </si>
  <si>
    <t>Cypres 2 militar en existencia</t>
  </si>
  <si>
    <t>TRAJE BUCEO 3 MM</t>
  </si>
  <si>
    <t>WATERPROOF OPERATION BAG</t>
  </si>
  <si>
    <t>ARTIC 450 EX Ó SHIPBOARDING</t>
  </si>
  <si>
    <t>SOLICITAR COMFUES</t>
  </si>
  <si>
    <t>DEFINIR POR COMFUES/ UCM</t>
  </si>
  <si>
    <t>LA QUE ESTÁ EN SERVICIO</t>
  </si>
  <si>
    <t xml:space="preserve"> Operaciones de Buceo Intervensión, Sistema </t>
  </si>
  <si>
    <t>NVLS MINIMUS BINO, CON TUBOS INTENSIFICADORES DE IMAGEN DE 16MM XR5 PHOTONIS XSW2540H (fósforo blanco)</t>
  </si>
  <si>
    <t>SAFTE</t>
  </si>
  <si>
    <t xml:space="preserve">TENEMOS </t>
  </si>
  <si>
    <t>GASTADO</t>
  </si>
  <si>
    <t>EQ. MIL</t>
  </si>
  <si>
    <t>PARACA</t>
  </si>
  <si>
    <t>OBT. INFO</t>
  </si>
  <si>
    <t>AT. PRECI</t>
  </si>
  <si>
    <t>DET. EFECT</t>
  </si>
  <si>
    <t>AP.BOM.FAN</t>
  </si>
  <si>
    <t>26 mochila buceo
30 bolsa seca</t>
  </si>
  <si>
    <t>26 mb
16 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</si>
</sst>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* #,##0_ ;_ &quot;$&quot;* \-#,##0_ ;_ &quot;$&quot;* &quot;-&quot;_ ;_ @_ "/>
    <numFmt numFmtId="165" formatCode="_ [$USD]\ * #,##0_ ;_ [$USD]\ * \-#,##0_ ;_ [$USD]\ * &quot;-&quot;_ ;_ @_ "/>
    <numFmt numFmtId="166" formatCode="[$USD]\ #,##0;\-[$USD]\ #,##0"/>
    <numFmt numFmtId="167" formatCode="_-&quot;$&quot;\ * #,##0_-;\-&quot;$&quot;\ * #,##0_-;_-&quot;$&quot;\ * &quot;-&quot;??_-;_-@_-"/>
    <numFmt numFmtId="168" formatCode="[$USD]\ #,##0.00"/>
    <numFmt numFmtId="169" formatCode="_-* #,##0_-;\-* #,##0_-;_-* &quot;-&quot;??_-;_-@_-"/>
    <numFmt numFmtId="170" formatCode="[$USD]\ #,##0"/>
    <numFmt numFmtId="171" formatCode="0.0000%"/>
    <numFmt numFmtId="172" formatCode="0.000%"/>
    <numFmt numFmtId="173" formatCode="0.000000%"/>
    <numFmt numFmtId="174" formatCode="0.0%"/>
    <numFmt numFmtId="175" formatCode="_-[$USD]\ * #,##0.00_-;\-[$USD]\ * #,##0.00_-;_-[$USD]\ * &quot;-&quot;??_-;_-@_-"/>
    <numFmt numFmtId="176" formatCode="_ [$USD]\ * #,##0.00_ ;_ [$USD]\ * \-#,##0.00_ ;_ [$USD]\ * &quot;-&quot;??_ ;_ @_ 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b/>
      <i/>
      <sz val="11"/>
      <color rgb="FF000000"/>
      <name val="Arial Narrow"/>
      <family val="2"/>
    </font>
    <font>
      <sz val="11"/>
      <color rgb="FFFF0000"/>
      <name val="Calibri"/>
      <family val="2"/>
      <scheme val="minor"/>
    </font>
    <font>
      <b/>
      <i/>
      <sz val="20"/>
      <color rgb="FF000000"/>
      <name val="Arial Narrow"/>
      <family val="2"/>
    </font>
    <font>
      <b/>
      <i/>
      <sz val="14"/>
      <color rgb="FF000000"/>
      <name val="Arial Narrow"/>
      <family val="2"/>
    </font>
    <font>
      <b/>
      <i/>
      <sz val="12"/>
      <color rgb="FF000000"/>
      <name val="Arial Narrow"/>
      <family val="2"/>
    </font>
    <font>
      <b/>
      <i/>
      <sz val="16"/>
      <color rgb="FF000000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3"/>
      <color rgb="FF000000"/>
      <name val="Arial Narrow"/>
      <family val="2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u/>
      <sz val="16"/>
      <color theme="1"/>
      <name val="Calibri"/>
      <family val="2"/>
      <scheme val="minor"/>
    </font>
    <font>
      <sz val="48"/>
      <color rgb="FFFF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0"/>
      <color rgb="FF000000"/>
      <name val="Arial Narrow"/>
      <family val="2"/>
    </font>
    <font>
      <b/>
      <sz val="12"/>
      <color rgb="FF000000"/>
      <name val="Arial Narrow"/>
      <family val="2"/>
    </font>
    <font>
      <b/>
      <i/>
      <sz val="7.5"/>
      <color rgb="FF000000"/>
      <name val="Arial Narrow"/>
      <family val="2"/>
    </font>
    <font>
      <b/>
      <sz val="7.5"/>
      <color rgb="FF000000"/>
      <name val="Arial Narrow"/>
      <family val="2"/>
    </font>
    <font>
      <sz val="7"/>
      <color rgb="FF000000"/>
      <name val="Arial Narrow"/>
      <family val="2"/>
    </font>
    <font>
      <sz val="9"/>
      <color rgb="FF000000"/>
      <name val="Arial Narrow"/>
      <family val="2"/>
    </font>
    <font>
      <b/>
      <sz val="8"/>
      <color rgb="FF000000"/>
      <name val="Arial Narrow"/>
      <family val="2"/>
    </font>
    <font>
      <b/>
      <i/>
      <sz val="10"/>
      <color rgb="FF000000"/>
      <name val="Arial Narrow"/>
      <family val="2"/>
    </font>
    <font>
      <b/>
      <sz val="8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4FB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8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rgb="FF000000"/>
      </bottom>
      <diagonal/>
    </border>
    <border>
      <left/>
      <right style="medium">
        <color indexed="64"/>
      </right>
      <top/>
      <bottom style="thick">
        <color rgb="FF000000"/>
      </bottom>
      <diagonal/>
    </border>
    <border>
      <left style="medium">
        <color indexed="64"/>
      </left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58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/>
    <xf numFmtId="165" fontId="0" fillId="0" borderId="1" xfId="0" applyNumberForma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5" xfId="0" applyFont="1" applyBorder="1"/>
    <xf numFmtId="165" fontId="0" fillId="0" borderId="1" xfId="0" applyNumberFormat="1" applyBorder="1"/>
    <xf numFmtId="0" fontId="0" fillId="0" borderId="1" xfId="0" applyBorder="1"/>
    <xf numFmtId="164" fontId="0" fillId="0" borderId="0" xfId="2" applyFont="1"/>
    <xf numFmtId="166" fontId="2" fillId="0" borderId="1" xfId="0" applyNumberFormat="1" applyFont="1" applyBorder="1" applyAlignment="1">
      <alignment horizontal="center"/>
    </xf>
    <xf numFmtId="166" fontId="0" fillId="0" borderId="1" xfId="1" applyNumberFormat="1" applyFont="1" applyBorder="1" applyAlignment="1">
      <alignment horizontal="center"/>
    </xf>
    <xf numFmtId="0" fontId="2" fillId="0" borderId="5" xfId="0" applyFont="1" applyBorder="1" applyAlignment="1">
      <alignment wrapText="1"/>
    </xf>
    <xf numFmtId="167" fontId="0" fillId="0" borderId="0" xfId="0" applyNumberFormat="1"/>
    <xf numFmtId="0" fontId="0" fillId="0" borderId="1" xfId="0" applyBorder="1" applyAlignment="1">
      <alignment horizontal="center"/>
    </xf>
    <xf numFmtId="0" fontId="9" fillId="6" borderId="4" xfId="3" applyFont="1" applyFill="1" applyBorder="1"/>
    <xf numFmtId="0" fontId="9" fillId="6" borderId="1" xfId="3" applyFont="1" applyFill="1" applyBorder="1"/>
    <xf numFmtId="0" fontId="0" fillId="0" borderId="7" xfId="0" applyBorder="1"/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6" xfId="0" applyBorder="1" applyAlignment="1">
      <alignment horizontal="center"/>
    </xf>
    <xf numFmtId="0" fontId="9" fillId="6" borderId="1" xfId="3" applyFont="1" applyFill="1" applyBorder="1" applyAlignment="1">
      <alignment wrapText="1"/>
    </xf>
    <xf numFmtId="0" fontId="10" fillId="7" borderId="9" xfId="0" applyFont="1" applyFill="1" applyBorder="1" applyAlignment="1">
      <alignment horizontal="center" vertical="center" wrapText="1"/>
    </xf>
    <xf numFmtId="168" fontId="10" fillId="7" borderId="9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/>
    </xf>
    <xf numFmtId="168" fontId="0" fillId="0" borderId="0" xfId="0" applyNumberFormat="1"/>
    <xf numFmtId="0" fontId="0" fillId="0" borderId="8" xfId="0" applyFill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68" fontId="0" fillId="0" borderId="1" xfId="1" applyNumberFormat="1" applyFont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wrapText="1"/>
    </xf>
    <xf numFmtId="0" fontId="0" fillId="0" borderId="1" xfId="1" applyNumberFormat="1" applyFont="1" applyBorder="1" applyAlignment="1">
      <alignment horizontal="center"/>
    </xf>
    <xf numFmtId="168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9" fillId="6" borderId="15" xfId="3" applyFont="1" applyFill="1" applyBorder="1"/>
    <xf numFmtId="0" fontId="0" fillId="0" borderId="16" xfId="0" applyBorder="1" applyAlignment="1">
      <alignment horizontal="center" vertical="center"/>
    </xf>
    <xf numFmtId="0" fontId="0" fillId="0" borderId="17" xfId="0" applyBorder="1"/>
    <xf numFmtId="0" fontId="0" fillId="0" borderId="0" xfId="0" applyBorder="1"/>
    <xf numFmtId="0" fontId="0" fillId="0" borderId="18" xfId="0" applyBorder="1" applyAlignment="1">
      <alignment horizontal="center" vertical="center"/>
    </xf>
    <xf numFmtId="168" fontId="0" fillId="0" borderId="10" xfId="1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10" xfId="0" applyBorder="1" applyAlignment="1">
      <alignment horizontal="center"/>
    </xf>
    <xf numFmtId="0" fontId="0" fillId="0" borderId="18" xfId="0" applyBorder="1" applyAlignment="1">
      <alignment wrapText="1"/>
    </xf>
    <xf numFmtId="166" fontId="0" fillId="0" borderId="0" xfId="1" applyNumberFormat="1" applyFont="1" applyBorder="1" applyAlignment="1">
      <alignment horizontal="center"/>
    </xf>
    <xf numFmtId="166" fontId="0" fillId="0" borderId="20" xfId="1" applyNumberFormat="1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9" fillId="6" borderId="21" xfId="3" applyFont="1" applyFill="1" applyBorder="1"/>
    <xf numFmtId="0" fontId="0" fillId="0" borderId="22" xfId="0" applyBorder="1" applyAlignment="1">
      <alignment horizontal="center"/>
    </xf>
    <xf numFmtId="166" fontId="0" fillId="0" borderId="23" xfId="1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wrapText="1"/>
    </xf>
    <xf numFmtId="0" fontId="0" fillId="0" borderId="25" xfId="0" applyBorder="1" applyAlignment="1">
      <alignment horizontal="center"/>
    </xf>
    <xf numFmtId="167" fontId="0" fillId="0" borderId="1" xfId="1" applyNumberFormat="1" applyFon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/>
    </xf>
    <xf numFmtId="0" fontId="9" fillId="6" borderId="4" xfId="3" applyFont="1" applyFill="1" applyBorder="1" applyAlignment="1">
      <alignment wrapText="1"/>
    </xf>
    <xf numFmtId="0" fontId="0" fillId="0" borderId="28" xfId="0" applyBorder="1" applyAlignment="1">
      <alignment horizontal="center"/>
    </xf>
    <xf numFmtId="0" fontId="0" fillId="0" borderId="8" xfId="0" applyBorder="1" applyAlignment="1">
      <alignment horizontal="center"/>
    </xf>
    <xf numFmtId="166" fontId="0" fillId="0" borderId="17" xfId="1" applyNumberFormat="1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3" xfId="0" applyBorder="1" applyAlignment="1">
      <alignment horizontal="center"/>
    </xf>
    <xf numFmtId="168" fontId="0" fillId="0" borderId="15" xfId="0" applyNumberFormat="1" applyBorder="1" applyAlignment="1">
      <alignment horizontal="center"/>
    </xf>
    <xf numFmtId="166" fontId="0" fillId="0" borderId="12" xfId="1" applyNumberFormat="1" applyFont="1" applyBorder="1" applyAlignment="1">
      <alignment horizontal="center"/>
    </xf>
    <xf numFmtId="167" fontId="0" fillId="0" borderId="15" xfId="1" applyNumberFormat="1" applyFont="1" applyBorder="1" applyAlignment="1">
      <alignment horizontal="center"/>
    </xf>
    <xf numFmtId="167" fontId="0" fillId="0" borderId="10" xfId="1" applyNumberFormat="1" applyFont="1" applyBorder="1" applyAlignment="1">
      <alignment horizontal="center"/>
    </xf>
    <xf numFmtId="167" fontId="0" fillId="0" borderId="30" xfId="0" applyNumberFormat="1" applyBorder="1" applyAlignment="1">
      <alignment horizontal="center"/>
    </xf>
    <xf numFmtId="0" fontId="0" fillId="0" borderId="31" xfId="0" applyBorder="1"/>
    <xf numFmtId="0" fontId="0" fillId="0" borderId="32" xfId="0" applyBorder="1"/>
    <xf numFmtId="168" fontId="0" fillId="0" borderId="2" xfId="0" applyNumberFormat="1" applyBorder="1" applyAlignment="1">
      <alignment horizontal="center"/>
    </xf>
    <xf numFmtId="0" fontId="0" fillId="0" borderId="34" xfId="0" applyBorder="1"/>
    <xf numFmtId="0" fontId="0" fillId="0" borderId="36" xfId="0" applyBorder="1" applyAlignment="1">
      <alignment horizontal="center"/>
    </xf>
    <xf numFmtId="168" fontId="0" fillId="0" borderId="6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7" xfId="0" applyBorder="1"/>
    <xf numFmtId="0" fontId="0" fillId="0" borderId="38" xfId="0" applyBorder="1"/>
    <xf numFmtId="166" fontId="0" fillId="0" borderId="27" xfId="1" applyNumberFormat="1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9" fillId="6" borderId="21" xfId="3" applyFont="1" applyFill="1" applyBorder="1" applyAlignment="1">
      <alignment wrapText="1"/>
    </xf>
    <xf numFmtId="168" fontId="0" fillId="0" borderId="40" xfId="0" applyNumberFormat="1" applyBorder="1" applyAlignment="1">
      <alignment horizontal="center"/>
    </xf>
    <xf numFmtId="0" fontId="0" fillId="0" borderId="41" xfId="0" applyBorder="1" applyAlignment="1">
      <alignment horizontal="center"/>
    </xf>
    <xf numFmtId="166" fontId="0" fillId="0" borderId="39" xfId="1" applyNumberFormat="1" applyFont="1" applyBorder="1" applyAlignment="1">
      <alignment horizontal="center"/>
    </xf>
    <xf numFmtId="0" fontId="10" fillId="7" borderId="9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8" borderId="1" xfId="0" applyFill="1" applyBorder="1" applyAlignment="1">
      <alignment wrapText="1"/>
    </xf>
    <xf numFmtId="165" fontId="0" fillId="8" borderId="1" xfId="0" applyNumberFormat="1" applyFill="1" applyBorder="1" applyAlignment="1">
      <alignment horizontal="center" vertical="center"/>
    </xf>
    <xf numFmtId="0" fontId="0" fillId="0" borderId="42" xfId="0" applyBorder="1" applyAlignment="1">
      <alignment wrapText="1"/>
    </xf>
    <xf numFmtId="167" fontId="0" fillId="0" borderId="43" xfId="1" applyNumberFormat="1" applyFont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24" xfId="0" applyBorder="1" applyAlignment="1">
      <alignment wrapText="1"/>
    </xf>
    <xf numFmtId="166" fontId="0" fillId="0" borderId="10" xfId="1" applyNumberFormat="1" applyFont="1" applyBorder="1" applyAlignment="1">
      <alignment horizontal="center"/>
    </xf>
    <xf numFmtId="166" fontId="0" fillId="0" borderId="45" xfId="1" applyNumberFormat="1" applyFont="1" applyBorder="1" applyAlignment="1">
      <alignment horizontal="center"/>
    </xf>
    <xf numFmtId="0" fontId="0" fillId="0" borderId="14" xfId="0" applyBorder="1" applyAlignment="1">
      <alignment horizontal="center"/>
    </xf>
    <xf numFmtId="166" fontId="0" fillId="0" borderId="46" xfId="1" applyNumberFormat="1" applyFont="1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29" xfId="0" applyBorder="1"/>
    <xf numFmtId="166" fontId="0" fillId="0" borderId="6" xfId="1" applyNumberFormat="1" applyFont="1" applyBorder="1" applyAlignment="1">
      <alignment horizontal="center"/>
    </xf>
    <xf numFmtId="0" fontId="0" fillId="0" borderId="18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48" xfId="0" applyBorder="1" applyAlignment="1">
      <alignment horizontal="left" wrapText="1"/>
    </xf>
    <xf numFmtId="0" fontId="0" fillId="0" borderId="49" xfId="0" applyBorder="1" applyAlignment="1">
      <alignment horizontal="center"/>
    </xf>
    <xf numFmtId="0" fontId="0" fillId="0" borderId="46" xfId="0" applyBorder="1" applyAlignment="1">
      <alignment horizontal="left" wrapText="1"/>
    </xf>
    <xf numFmtId="167" fontId="0" fillId="0" borderId="45" xfId="1" applyNumberFormat="1" applyFont="1" applyBorder="1" applyAlignment="1">
      <alignment horizontal="center"/>
    </xf>
    <xf numFmtId="169" fontId="0" fillId="0" borderId="0" xfId="4" applyNumberFormat="1" applyFont="1"/>
    <xf numFmtId="0" fontId="10" fillId="7" borderId="53" xfId="0" applyFont="1" applyFill="1" applyBorder="1" applyAlignment="1">
      <alignment horizontal="center" vertical="center" wrapText="1"/>
    </xf>
    <xf numFmtId="169" fontId="10" fillId="7" borderId="9" xfId="4" applyNumberFormat="1" applyFont="1" applyFill="1" applyBorder="1" applyAlignment="1">
      <alignment horizontal="center" vertical="center" wrapText="1"/>
    </xf>
    <xf numFmtId="169" fontId="0" fillId="0" borderId="45" xfId="4" applyNumberFormat="1" applyFont="1" applyBorder="1" applyAlignment="1">
      <alignment horizontal="center"/>
    </xf>
    <xf numFmtId="169" fontId="0" fillId="0" borderId="23" xfId="4" applyNumberFormat="1" applyFont="1" applyBorder="1" applyAlignment="1">
      <alignment horizontal="center"/>
    </xf>
    <xf numFmtId="169" fontId="0" fillId="0" borderId="20" xfId="4" applyNumberFormat="1" applyFont="1" applyBorder="1" applyAlignment="1">
      <alignment horizontal="center"/>
    </xf>
    <xf numFmtId="0" fontId="13" fillId="7" borderId="29" xfId="0" applyFont="1" applyFill="1" applyBorder="1" applyAlignment="1">
      <alignment horizontal="center" vertical="center" textRotation="90" wrapText="1"/>
    </xf>
    <xf numFmtId="169" fontId="10" fillId="7" borderId="53" xfId="4" applyNumberFormat="1" applyFont="1" applyFill="1" applyBorder="1" applyAlignment="1">
      <alignment horizontal="center" vertical="center" wrapText="1"/>
    </xf>
    <xf numFmtId="167" fontId="10" fillId="7" borderId="53" xfId="0" applyNumberFormat="1" applyFont="1" applyFill="1" applyBorder="1" applyAlignment="1">
      <alignment horizontal="center" vertical="center" wrapText="1"/>
    </xf>
    <xf numFmtId="167" fontId="10" fillId="7" borderId="51" xfId="0" applyNumberFormat="1" applyFont="1" applyFill="1" applyBorder="1" applyAlignment="1">
      <alignment horizontal="center" vertical="center" wrapText="1"/>
    </xf>
    <xf numFmtId="0" fontId="15" fillId="7" borderId="54" xfId="0" applyFont="1" applyFill="1" applyBorder="1" applyAlignment="1">
      <alignment vertical="center" textRotation="90" wrapText="1"/>
    </xf>
    <xf numFmtId="0" fontId="15" fillId="7" borderId="55" xfId="0" applyFont="1" applyFill="1" applyBorder="1" applyAlignment="1">
      <alignment vertical="center" textRotation="90" wrapText="1"/>
    </xf>
    <xf numFmtId="167" fontId="0" fillId="0" borderId="1" xfId="1" applyNumberFormat="1" applyFont="1" applyFill="1" applyBorder="1" applyAlignment="1">
      <alignment horizontal="center"/>
    </xf>
    <xf numFmtId="0" fontId="10" fillId="7" borderId="29" xfId="0" applyFont="1" applyFill="1" applyBorder="1" applyAlignment="1">
      <alignment horizontal="center" vertical="center" wrapText="1"/>
    </xf>
    <xf numFmtId="0" fontId="15" fillId="7" borderId="55" xfId="0" applyFont="1" applyFill="1" applyBorder="1" applyAlignment="1">
      <alignment vertical="center" wrapText="1"/>
    </xf>
    <xf numFmtId="0" fontId="15" fillId="7" borderId="47" xfId="0" applyFont="1" applyFill="1" applyBorder="1" applyAlignment="1">
      <alignment vertical="center" wrapText="1"/>
    </xf>
    <xf numFmtId="0" fontId="15" fillId="7" borderId="13" xfId="0" applyFont="1" applyFill="1" applyBorder="1" applyAlignment="1">
      <alignment vertical="center" wrapText="1"/>
    </xf>
    <xf numFmtId="0" fontId="0" fillId="0" borderId="46" xfId="0" applyBorder="1" applyAlignment="1">
      <alignment horizontal="center"/>
    </xf>
    <xf numFmtId="169" fontId="0" fillId="0" borderId="43" xfId="4" applyNumberFormat="1" applyFont="1" applyBorder="1" applyAlignment="1">
      <alignment horizontal="center"/>
    </xf>
    <xf numFmtId="0" fontId="13" fillId="7" borderId="55" xfId="0" applyFont="1" applyFill="1" applyBorder="1" applyAlignment="1">
      <alignment vertical="center" wrapText="1"/>
    </xf>
    <xf numFmtId="0" fontId="10" fillId="7" borderId="55" xfId="0" applyFont="1" applyFill="1" applyBorder="1" applyAlignment="1">
      <alignment vertical="center" wrapText="1"/>
    </xf>
    <xf numFmtId="0" fontId="18" fillId="0" borderId="0" xfId="0" applyFont="1"/>
    <xf numFmtId="169" fontId="13" fillId="7" borderId="52" xfId="4" applyNumberFormat="1" applyFont="1" applyFill="1" applyBorder="1" applyAlignment="1">
      <alignment vertical="center" wrapText="1"/>
    </xf>
    <xf numFmtId="0" fontId="20" fillId="0" borderId="0" xfId="0" applyFont="1" applyBorder="1" applyAlignment="1">
      <alignment horizontal="left" vertical="top" wrapText="1"/>
    </xf>
    <xf numFmtId="0" fontId="20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left" vertical="top" wrapText="1"/>
    </xf>
    <xf numFmtId="0" fontId="23" fillId="0" borderId="51" xfId="0" applyFont="1" applyBorder="1" applyAlignment="1">
      <alignment horizontal="right" vertical="center"/>
    </xf>
    <xf numFmtId="0" fontId="0" fillId="0" borderId="50" xfId="0" applyBorder="1" applyAlignment="1">
      <alignment vertical="center"/>
    </xf>
    <xf numFmtId="0" fontId="0" fillId="0" borderId="50" xfId="0" applyBorder="1" applyAlignment="1">
      <alignment horizontal="left" vertical="top" wrapText="1"/>
    </xf>
    <xf numFmtId="4" fontId="2" fillId="0" borderId="50" xfId="0" applyNumberFormat="1" applyFont="1" applyBorder="1" applyAlignment="1">
      <alignment vertical="center"/>
    </xf>
    <xf numFmtId="0" fontId="2" fillId="0" borderId="51" xfId="0" applyFont="1" applyBorder="1" applyAlignment="1">
      <alignment vertical="center"/>
    </xf>
    <xf numFmtId="4" fontId="0" fillId="0" borderId="50" xfId="0" applyNumberFormat="1" applyBorder="1" applyAlignment="1">
      <alignment vertical="center"/>
    </xf>
    <xf numFmtId="4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 wrapText="1"/>
    </xf>
    <xf numFmtId="0" fontId="24" fillId="0" borderId="0" xfId="0" applyFont="1" applyBorder="1" applyAlignment="1">
      <alignment vertical="center"/>
    </xf>
    <xf numFmtId="4" fontId="24" fillId="0" borderId="0" xfId="0" applyNumberFormat="1" applyFont="1" applyBorder="1" applyAlignment="1">
      <alignment vertical="center"/>
    </xf>
    <xf numFmtId="0" fontId="24" fillId="0" borderId="0" xfId="0" applyFont="1" applyAlignment="1">
      <alignment vertical="center"/>
    </xf>
    <xf numFmtId="0" fontId="2" fillId="3" borderId="51" xfId="0" applyFont="1" applyFill="1" applyBorder="1" applyAlignment="1">
      <alignment vertical="center"/>
    </xf>
    <xf numFmtId="0" fontId="0" fillId="3" borderId="50" xfId="0" applyFill="1" applyBorder="1" applyAlignment="1">
      <alignment vertical="center"/>
    </xf>
    <xf numFmtId="0" fontId="2" fillId="3" borderId="50" xfId="0" applyFont="1" applyFill="1" applyBorder="1" applyAlignment="1">
      <alignment horizontal="left" vertical="top" wrapText="1"/>
    </xf>
    <xf numFmtId="4" fontId="2" fillId="3" borderId="50" xfId="0" applyNumberFormat="1" applyFont="1" applyFill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0" fillId="0" borderId="0" xfId="0" applyBorder="1" applyAlignment="1">
      <alignment horizontal="left" vertical="center"/>
    </xf>
    <xf numFmtId="0" fontId="2" fillId="2" borderId="51" xfId="0" applyFont="1" applyFill="1" applyBorder="1" applyAlignment="1">
      <alignment vertical="center"/>
    </xf>
    <xf numFmtId="0" fontId="2" fillId="2" borderId="50" xfId="0" applyFont="1" applyFill="1" applyBorder="1" applyAlignment="1">
      <alignment vertical="center"/>
    </xf>
    <xf numFmtId="0" fontId="2" fillId="2" borderId="50" xfId="0" applyFont="1" applyFill="1" applyBorder="1" applyAlignment="1">
      <alignment horizontal="left" vertical="top" wrapText="1"/>
    </xf>
    <xf numFmtId="4" fontId="0" fillId="2" borderId="50" xfId="0" applyNumberFormat="1" applyFill="1" applyBorder="1" applyAlignment="1">
      <alignment vertical="center"/>
    </xf>
    <xf numFmtId="4" fontId="2" fillId="2" borderId="50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 wrapText="1"/>
    </xf>
    <xf numFmtId="0" fontId="2" fillId="4" borderId="51" xfId="0" applyFont="1" applyFill="1" applyBorder="1" applyAlignment="1">
      <alignment vertical="center"/>
    </xf>
    <xf numFmtId="0" fontId="2" fillId="4" borderId="50" xfId="0" applyFont="1" applyFill="1" applyBorder="1" applyAlignment="1">
      <alignment vertical="center"/>
    </xf>
    <xf numFmtId="4" fontId="2" fillId="4" borderId="50" xfId="0" applyNumberFormat="1" applyFont="1" applyFill="1" applyBorder="1" applyAlignment="1">
      <alignment vertical="center"/>
    </xf>
    <xf numFmtId="168" fontId="0" fillId="0" borderId="0" xfId="0" applyNumberFormat="1" applyBorder="1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left" vertical="top" wrapText="1"/>
    </xf>
    <xf numFmtId="8" fontId="0" fillId="0" borderId="0" xfId="0" applyNumberFormat="1" applyAlignment="1">
      <alignment vertical="center"/>
    </xf>
    <xf numFmtId="168" fontId="0" fillId="0" borderId="0" xfId="0" applyNumberFormat="1" applyBorder="1" applyAlignment="1">
      <alignment horizontal="left" vertical="center"/>
    </xf>
    <xf numFmtId="168" fontId="0" fillId="0" borderId="0" xfId="0" applyNumberFormat="1" applyBorder="1" applyAlignment="1">
      <alignment horizontal="left" vertical="top" wrapText="1"/>
    </xf>
    <xf numFmtId="168" fontId="0" fillId="0" borderId="0" xfId="0" applyNumberFormat="1" applyAlignment="1">
      <alignment vertical="center"/>
    </xf>
    <xf numFmtId="168" fontId="0" fillId="0" borderId="0" xfId="0" applyNumberFormat="1" applyBorder="1" applyAlignment="1">
      <alignment vertical="center" wrapText="1"/>
    </xf>
    <xf numFmtId="0" fontId="25" fillId="0" borderId="29" xfId="0" applyFont="1" applyBorder="1" applyAlignment="1">
      <alignment horizontal="justify" vertical="center"/>
    </xf>
    <xf numFmtId="0" fontId="25" fillId="8" borderId="29" xfId="0" applyFont="1" applyFill="1" applyBorder="1" applyAlignment="1">
      <alignment horizontal="justify" vertical="center"/>
    </xf>
    <xf numFmtId="0" fontId="25" fillId="0" borderId="62" xfId="0" applyFont="1" applyBorder="1" applyAlignment="1">
      <alignment horizontal="center" vertical="center"/>
    </xf>
    <xf numFmtId="170" fontId="26" fillId="0" borderId="63" xfId="0" applyNumberFormat="1" applyFont="1" applyBorder="1" applyAlignment="1">
      <alignment horizontal="right" vertical="center" wrapText="1"/>
    </xf>
    <xf numFmtId="0" fontId="25" fillId="0" borderId="64" xfId="0" applyFont="1" applyBorder="1" applyAlignment="1">
      <alignment horizontal="center" vertical="center"/>
    </xf>
    <xf numFmtId="170" fontId="26" fillId="8" borderId="63" xfId="0" applyNumberFormat="1" applyFont="1" applyFill="1" applyBorder="1" applyAlignment="1">
      <alignment horizontal="right" vertical="center" wrapText="1"/>
    </xf>
    <xf numFmtId="170" fontId="26" fillId="0" borderId="53" xfId="0" applyNumberFormat="1" applyFont="1" applyBorder="1" applyAlignment="1">
      <alignment horizontal="right" vertical="center" wrapText="1"/>
    </xf>
    <xf numFmtId="168" fontId="0" fillId="11" borderId="0" xfId="0" applyNumberFormat="1" applyFill="1"/>
    <xf numFmtId="0" fontId="0" fillId="11" borderId="0" xfId="0" applyFill="1"/>
    <xf numFmtId="168" fontId="0" fillId="13" borderId="1" xfId="0" applyNumberFormat="1" applyFill="1" applyBorder="1"/>
    <xf numFmtId="168" fontId="0" fillId="8" borderId="1" xfId="0" applyNumberFormat="1" applyFill="1" applyBorder="1"/>
    <xf numFmtId="168" fontId="0" fillId="8" borderId="5" xfId="0" applyNumberFormat="1" applyFill="1" applyBorder="1"/>
    <xf numFmtId="168" fontId="0" fillId="8" borderId="6" xfId="0" applyNumberFormat="1" applyFill="1" applyBorder="1"/>
    <xf numFmtId="168" fontId="0" fillId="14" borderId="1" xfId="0" applyNumberFormat="1" applyFill="1" applyBorder="1"/>
    <xf numFmtId="168" fontId="0" fillId="14" borderId="6" xfId="0" applyNumberFormat="1" applyFill="1" applyBorder="1"/>
    <xf numFmtId="0" fontId="0" fillId="12" borderId="0" xfId="0" applyFill="1" applyAlignment="1">
      <alignment horizontal="left"/>
    </xf>
    <xf numFmtId="0" fontId="0" fillId="12" borderId="0" xfId="0" applyFill="1"/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7" borderId="9" xfId="0" applyFont="1" applyFill="1" applyBorder="1" applyAlignment="1">
      <alignment horizontal="center" vertical="center" wrapText="1"/>
    </xf>
    <xf numFmtId="0" fontId="0" fillId="0" borderId="66" xfId="0" applyBorder="1" applyAlignment="1">
      <alignment wrapText="1"/>
    </xf>
    <xf numFmtId="168" fontId="0" fillId="0" borderId="15" xfId="1" applyNumberFormat="1" applyFont="1" applyBorder="1" applyAlignment="1">
      <alignment horizontal="center"/>
    </xf>
    <xf numFmtId="168" fontId="10" fillId="7" borderId="53" xfId="0" applyNumberFormat="1" applyFont="1" applyFill="1" applyBorder="1" applyAlignment="1">
      <alignment horizontal="center" vertical="center" wrapText="1"/>
    </xf>
    <xf numFmtId="168" fontId="0" fillId="0" borderId="1" xfId="1" applyNumberFormat="1" applyFont="1" applyFill="1" applyBorder="1" applyAlignment="1">
      <alignment horizontal="center"/>
    </xf>
    <xf numFmtId="168" fontId="0" fillId="10" borderId="1" xfId="1" applyNumberFormat="1" applyFont="1" applyFill="1" applyBorder="1" applyAlignment="1">
      <alignment horizontal="center"/>
    </xf>
    <xf numFmtId="168" fontId="0" fillId="10" borderId="10" xfId="1" applyNumberFormat="1" applyFont="1" applyFill="1" applyBorder="1" applyAlignment="1">
      <alignment horizontal="center"/>
    </xf>
    <xf numFmtId="168" fontId="0" fillId="10" borderId="15" xfId="1" applyNumberFormat="1" applyFont="1" applyFill="1" applyBorder="1" applyAlignment="1">
      <alignment horizontal="center"/>
    </xf>
    <xf numFmtId="168" fontId="0" fillId="10" borderId="45" xfId="1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5" xfId="0" applyBorder="1" applyAlignment="1">
      <alignment horizontal="center"/>
    </xf>
    <xf numFmtId="2" fontId="0" fillId="0" borderId="0" xfId="0" applyNumberFormat="1"/>
    <xf numFmtId="168" fontId="0" fillId="10" borderId="43" xfId="1" applyNumberFormat="1" applyFont="1" applyFill="1" applyBorder="1" applyAlignment="1">
      <alignment horizontal="center"/>
    </xf>
    <xf numFmtId="0" fontId="2" fillId="4" borderId="58" xfId="0" applyFont="1" applyFill="1" applyBorder="1" applyAlignment="1">
      <alignment horizontal="left" vertical="top" wrapText="1"/>
    </xf>
    <xf numFmtId="4" fontId="2" fillId="4" borderId="58" xfId="0" applyNumberFormat="1" applyFont="1" applyFill="1" applyBorder="1" applyAlignment="1">
      <alignment vertical="center"/>
    </xf>
    <xf numFmtId="0" fontId="2" fillId="9" borderId="18" xfId="0" applyFont="1" applyFill="1" applyBorder="1" applyAlignment="1">
      <alignment horizontal="right" vertical="top" wrapText="1"/>
    </xf>
    <xf numFmtId="168" fontId="2" fillId="9" borderId="45" xfId="0" applyNumberFormat="1" applyFont="1" applyFill="1" applyBorder="1" applyAlignment="1">
      <alignment horizontal="right" vertical="top" wrapText="1"/>
    </xf>
    <xf numFmtId="0" fontId="2" fillId="9" borderId="22" xfId="0" applyFont="1" applyFill="1" applyBorder="1" applyAlignment="1">
      <alignment horizontal="right" vertical="top" wrapText="1"/>
    </xf>
    <xf numFmtId="168" fontId="2" fillId="9" borderId="20" xfId="0" applyNumberFormat="1" applyFont="1" applyFill="1" applyBorder="1" applyAlignment="1">
      <alignment horizontal="right" vertical="top" wrapText="1"/>
    </xf>
    <xf numFmtId="0" fontId="4" fillId="13" borderId="5" xfId="0" applyFont="1" applyFill="1" applyBorder="1"/>
    <xf numFmtId="0" fontId="2" fillId="13" borderId="1" xfId="0" applyFont="1" applyFill="1" applyBorder="1" applyAlignment="1">
      <alignment horizontal="center"/>
    </xf>
    <xf numFmtId="0" fontId="2" fillId="13" borderId="5" xfId="0" applyFont="1" applyFill="1" applyBorder="1"/>
    <xf numFmtId="165" fontId="0" fillId="0" borderId="0" xfId="0" applyNumberFormat="1"/>
    <xf numFmtId="0" fontId="2" fillId="13" borderId="2" xfId="0" applyFont="1" applyFill="1" applyBorder="1" applyAlignment="1">
      <alignment horizontal="center"/>
    </xf>
    <xf numFmtId="165" fontId="0" fillId="0" borderId="2" xfId="0" applyNumberFormat="1" applyBorder="1" applyAlignment="1">
      <alignment horizontal="center" vertical="center"/>
    </xf>
    <xf numFmtId="165" fontId="0" fillId="0" borderId="29" xfId="0" applyNumberFormat="1" applyBorder="1"/>
    <xf numFmtId="0" fontId="0" fillId="13" borderId="9" xfId="0" applyFill="1" applyBorder="1"/>
    <xf numFmtId="165" fontId="0" fillId="13" borderId="53" xfId="0" applyNumberFormat="1" applyFill="1" applyBorder="1"/>
    <xf numFmtId="168" fontId="0" fillId="0" borderId="0" xfId="4" applyNumberFormat="1" applyFont="1"/>
    <xf numFmtId="168" fontId="2" fillId="13" borderId="1" xfId="4" applyNumberFormat="1" applyFont="1" applyFill="1" applyBorder="1" applyAlignment="1">
      <alignment horizontal="center"/>
    </xf>
    <xf numFmtId="0" fontId="2" fillId="13" borderId="25" xfId="0" applyFont="1" applyFill="1" applyBorder="1" applyAlignment="1">
      <alignment horizontal="center"/>
    </xf>
    <xf numFmtId="0" fontId="0" fillId="0" borderId="16" xfId="0" applyBorder="1" applyAlignment="1">
      <alignment horizontal="left" wrapText="1"/>
    </xf>
    <xf numFmtId="0" fontId="9" fillId="6" borderId="68" xfId="3" applyFont="1" applyFill="1" applyBorder="1" applyAlignment="1">
      <alignment wrapText="1"/>
    </xf>
    <xf numFmtId="0" fontId="0" fillId="0" borderId="16" xfId="0" applyBorder="1" applyAlignment="1">
      <alignment horizontal="center"/>
    </xf>
    <xf numFmtId="167" fontId="0" fillId="0" borderId="65" xfId="1" applyNumberFormat="1" applyFont="1" applyBorder="1" applyAlignment="1">
      <alignment horizontal="center"/>
    </xf>
    <xf numFmtId="0" fontId="0" fillId="0" borderId="69" xfId="0" applyBorder="1" applyAlignment="1">
      <alignment horizontal="center"/>
    </xf>
    <xf numFmtId="167" fontId="0" fillId="0" borderId="46" xfId="0" applyNumberFormat="1" applyBorder="1" applyAlignment="1">
      <alignment horizontal="center"/>
    </xf>
    <xf numFmtId="0" fontId="0" fillId="0" borderId="70" xfId="0" applyBorder="1"/>
    <xf numFmtId="0" fontId="0" fillId="0" borderId="71" xfId="0" applyBorder="1"/>
    <xf numFmtId="0" fontId="2" fillId="13" borderId="25" xfId="0" applyFont="1" applyFill="1" applyBorder="1" applyAlignment="1">
      <alignment horizontal="center" vertical="center"/>
    </xf>
    <xf numFmtId="165" fontId="0" fillId="0" borderId="29" xfId="0" applyNumberFormat="1" applyBorder="1" applyAlignment="1">
      <alignment vertical="center"/>
    </xf>
    <xf numFmtId="0" fontId="0" fillId="0" borderId="16" xfId="0" applyBorder="1" applyAlignment="1">
      <alignment wrapText="1"/>
    </xf>
    <xf numFmtId="167" fontId="0" fillId="0" borderId="46" xfId="1" applyNumberFormat="1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9" fillId="6" borderId="72" xfId="3" applyFont="1" applyFill="1" applyBorder="1"/>
    <xf numFmtId="166" fontId="0" fillId="0" borderId="67" xfId="1" applyNumberFormat="1" applyFont="1" applyBorder="1" applyAlignment="1">
      <alignment horizontal="center"/>
    </xf>
    <xf numFmtId="0" fontId="0" fillId="0" borderId="5" xfId="0" applyBorder="1" applyAlignment="1">
      <alignment horizontal="center" wrapText="1"/>
    </xf>
    <xf numFmtId="165" fontId="0" fillId="0" borderId="5" xfId="0" applyNumberFormat="1" applyBorder="1" applyAlignment="1">
      <alignment horizontal="center" vertical="center"/>
    </xf>
    <xf numFmtId="165" fontId="0" fillId="0" borderId="73" xfId="0" applyNumberFormat="1" applyBorder="1" applyAlignment="1">
      <alignment horizontal="center" vertical="center"/>
    </xf>
    <xf numFmtId="165" fontId="0" fillId="0" borderId="46" xfId="0" applyNumberFormat="1" applyBorder="1" applyAlignment="1">
      <alignment horizontal="center" vertical="center"/>
    </xf>
    <xf numFmtId="165" fontId="0" fillId="0" borderId="65" xfId="0" applyNumberFormat="1" applyBorder="1" applyAlignment="1">
      <alignment horizontal="center" vertical="center"/>
    </xf>
    <xf numFmtId="0" fontId="0" fillId="4" borderId="41" xfId="0" applyFill="1" applyBorder="1" applyAlignment="1">
      <alignment vertical="top"/>
    </xf>
    <xf numFmtId="0" fontId="0" fillId="4" borderId="74" xfId="0" applyFill="1" applyBorder="1" applyAlignment="1">
      <alignment vertical="top"/>
    </xf>
    <xf numFmtId="0" fontId="0" fillId="4" borderId="21" xfId="0" applyFill="1" applyBorder="1" applyAlignment="1">
      <alignment vertical="top"/>
    </xf>
    <xf numFmtId="168" fontId="0" fillId="12" borderId="0" xfId="0" applyNumberFormat="1" applyFill="1"/>
    <xf numFmtId="168" fontId="10" fillId="12" borderId="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7" fillId="8" borderId="53" xfId="0" applyFont="1" applyFill="1" applyBorder="1" applyAlignment="1">
      <alignment horizontal="center"/>
    </xf>
    <xf numFmtId="0" fontId="7" fillId="8" borderId="55" xfId="0" applyFont="1" applyFill="1" applyBorder="1" applyAlignment="1">
      <alignment horizontal="center" vertical="center"/>
    </xf>
    <xf numFmtId="168" fontId="7" fillId="8" borderId="53" xfId="0" applyNumberFormat="1" applyFont="1" applyFill="1" applyBorder="1"/>
    <xf numFmtId="0" fontId="25" fillId="0" borderId="53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justify" vertical="center"/>
    </xf>
    <xf numFmtId="170" fontId="26" fillId="0" borderId="45" xfId="0" applyNumberFormat="1" applyFont="1" applyBorder="1" applyAlignment="1">
      <alignment horizontal="right" vertical="center" wrapText="1"/>
    </xf>
    <xf numFmtId="0" fontId="25" fillId="0" borderId="11" xfId="0" applyFont="1" applyBorder="1" applyAlignment="1">
      <alignment horizontal="justify" vertical="center"/>
    </xf>
    <xf numFmtId="170" fontId="26" fillId="0" borderId="23" xfId="0" applyNumberFormat="1" applyFont="1" applyBorder="1" applyAlignment="1">
      <alignment horizontal="right" vertical="center" wrapText="1"/>
    </xf>
    <xf numFmtId="0" fontId="25" fillId="0" borderId="22" xfId="0" applyFont="1" applyBorder="1" applyAlignment="1">
      <alignment horizontal="justify" vertical="center"/>
    </xf>
    <xf numFmtId="170" fontId="26" fillId="0" borderId="20" xfId="0" applyNumberFormat="1" applyFont="1" applyBorder="1" applyAlignment="1">
      <alignment horizontal="right" vertical="center" wrapText="1"/>
    </xf>
    <xf numFmtId="171" fontId="3" fillId="13" borderId="65" xfId="5" applyNumberFormat="1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 wrapText="1"/>
    </xf>
    <xf numFmtId="168" fontId="7" fillId="8" borderId="53" xfId="0" applyNumberFormat="1" applyFont="1" applyFill="1" applyBorder="1" applyAlignment="1">
      <alignment vertical="center"/>
    </xf>
    <xf numFmtId="168" fontId="2" fillId="11" borderId="0" xfId="0" applyNumberFormat="1" applyFont="1" applyFill="1" applyAlignment="1">
      <alignment horizontal="center"/>
    </xf>
    <xf numFmtId="168" fontId="2" fillId="11" borderId="53" xfId="0" applyNumberFormat="1" applyFont="1" applyFill="1" applyBorder="1"/>
    <xf numFmtId="168" fontId="28" fillId="11" borderId="29" xfId="0" applyNumberFormat="1" applyFont="1" applyFill="1" applyBorder="1"/>
    <xf numFmtId="168" fontId="0" fillId="12" borderId="0" xfId="0" applyNumberFormat="1" applyFill="1" applyAlignment="1">
      <alignment horizontal="left"/>
    </xf>
    <xf numFmtId="170" fontId="26" fillId="13" borderId="53" xfId="0" applyNumberFormat="1" applyFont="1" applyFill="1" applyBorder="1" applyAlignment="1">
      <alignment horizontal="right" vertical="center" wrapText="1"/>
    </xf>
    <xf numFmtId="0" fontId="25" fillId="0" borderId="4" xfId="0" applyFont="1" applyBorder="1" applyAlignment="1">
      <alignment horizontal="center" vertical="center"/>
    </xf>
    <xf numFmtId="173" fontId="0" fillId="12" borderId="50" xfId="5" applyNumberFormat="1" applyFont="1" applyFill="1" applyBorder="1" applyAlignment="1">
      <alignment horizontal="left"/>
    </xf>
    <xf numFmtId="168" fontId="28" fillId="11" borderId="12" xfId="0" applyNumberFormat="1" applyFont="1" applyFill="1" applyBorder="1"/>
    <xf numFmtId="0" fontId="13" fillId="7" borderId="34" xfId="0" applyFont="1" applyFill="1" applyBorder="1" applyAlignment="1">
      <alignment vertical="center" textRotation="90" wrapText="1"/>
    </xf>
    <xf numFmtId="0" fontId="13" fillId="7" borderId="29" xfId="0" applyFont="1" applyFill="1" applyBorder="1" applyAlignment="1">
      <alignment vertical="center" textRotation="90" wrapText="1"/>
    </xf>
    <xf numFmtId="0" fontId="13" fillId="7" borderId="9" xfId="0" applyFont="1" applyFill="1" applyBorder="1" applyAlignment="1">
      <alignment vertical="center" textRotation="90" wrapText="1"/>
    </xf>
    <xf numFmtId="169" fontId="0" fillId="12" borderId="0" xfId="4" applyNumberFormat="1" applyFont="1" applyFill="1"/>
    <xf numFmtId="170" fontId="0" fillId="0" borderId="0" xfId="0" applyNumberFormat="1"/>
    <xf numFmtId="168" fontId="29" fillId="11" borderId="52" xfId="0" applyNumberFormat="1" applyFont="1" applyFill="1" applyBorder="1"/>
    <xf numFmtId="168" fontId="29" fillId="11" borderId="53" xfId="0" applyNumberFormat="1" applyFont="1" applyFill="1" applyBorder="1" applyAlignment="1">
      <alignment horizontal="center" vertical="center"/>
    </xf>
    <xf numFmtId="168" fontId="29" fillId="11" borderId="0" xfId="0" applyNumberFormat="1" applyFont="1" applyFill="1" applyAlignment="1">
      <alignment horizontal="center" wrapText="1"/>
    </xf>
    <xf numFmtId="168" fontId="30" fillId="11" borderId="51" xfId="0" applyNumberFormat="1" applyFont="1" applyFill="1" applyBorder="1" applyAlignment="1">
      <alignment horizontal="center"/>
    </xf>
    <xf numFmtId="168" fontId="29" fillId="11" borderId="53" xfId="0" applyNumberFormat="1" applyFont="1" applyFill="1" applyBorder="1"/>
    <xf numFmtId="168" fontId="0" fillId="14" borderId="49" xfId="0" applyNumberFormat="1" applyFill="1" applyBorder="1"/>
    <xf numFmtId="168" fontId="2" fillId="14" borderId="25" xfId="0" applyNumberFormat="1" applyFont="1" applyFill="1" applyBorder="1"/>
    <xf numFmtId="0" fontId="0" fillId="14" borderId="0" xfId="0" applyFill="1" applyAlignment="1">
      <alignment horizontal="left"/>
    </xf>
    <xf numFmtId="173" fontId="2" fillId="14" borderId="34" xfId="5" applyNumberFormat="1" applyFont="1" applyFill="1" applyBorder="1" applyAlignment="1">
      <alignment horizontal="left"/>
    </xf>
    <xf numFmtId="168" fontId="2" fillId="14" borderId="34" xfId="0" applyNumberFormat="1" applyFont="1" applyFill="1" applyBorder="1" applyAlignment="1">
      <alignment horizontal="left"/>
    </xf>
    <xf numFmtId="0" fontId="2" fillId="14" borderId="34" xfId="0" applyFont="1" applyFill="1" applyBorder="1" applyAlignment="1">
      <alignment horizontal="left"/>
    </xf>
    <xf numFmtId="0" fontId="0" fillId="14" borderId="0" xfId="0" applyFill="1"/>
    <xf numFmtId="168" fontId="0" fillId="14" borderId="2" xfId="0" applyNumberFormat="1" applyFill="1" applyBorder="1"/>
    <xf numFmtId="168" fontId="2" fillId="14" borderId="27" xfId="0" applyNumberFormat="1" applyFont="1" applyFill="1" applyBorder="1"/>
    <xf numFmtId="168" fontId="0" fillId="14" borderId="5" xfId="0" applyNumberFormat="1" applyFill="1" applyBorder="1"/>
    <xf numFmtId="0" fontId="0" fillId="14" borderId="5" xfId="0" applyFill="1" applyBorder="1" applyAlignment="1">
      <alignment horizontal="left"/>
    </xf>
    <xf numFmtId="168" fontId="0" fillId="14" borderId="73" xfId="0" applyNumberFormat="1" applyFill="1" applyBorder="1"/>
    <xf numFmtId="168" fontId="2" fillId="14" borderId="39" xfId="0" applyNumberFormat="1" applyFont="1" applyFill="1" applyBorder="1"/>
    <xf numFmtId="172" fontId="0" fillId="14" borderId="53" xfId="5" applyNumberFormat="1" applyFont="1" applyFill="1" applyBorder="1"/>
    <xf numFmtId="168" fontId="0" fillId="14" borderId="12" xfId="0" applyNumberFormat="1" applyFill="1" applyBorder="1"/>
    <xf numFmtId="171" fontId="3" fillId="14" borderId="52" xfId="5" applyNumberFormat="1" applyFont="1" applyFill="1" applyBorder="1" applyAlignment="1">
      <alignment horizontal="center" vertical="center"/>
    </xf>
    <xf numFmtId="170" fontId="26" fillId="14" borderId="53" xfId="0" applyNumberFormat="1" applyFont="1" applyFill="1" applyBorder="1" applyAlignment="1">
      <alignment horizontal="right" vertical="center" wrapText="1"/>
    </xf>
    <xf numFmtId="0" fontId="13" fillId="7" borderId="9" xfId="0" applyFont="1" applyFill="1" applyBorder="1" applyAlignment="1">
      <alignment horizontal="center" vertical="center" textRotation="90" wrapText="1"/>
    </xf>
    <xf numFmtId="0" fontId="13" fillId="7" borderId="34" xfId="0" applyFont="1" applyFill="1" applyBorder="1" applyAlignment="1">
      <alignment horizontal="center" vertical="center" textRotation="90" wrapText="1"/>
    </xf>
    <xf numFmtId="0" fontId="13" fillId="7" borderId="29" xfId="0" applyFont="1" applyFill="1" applyBorder="1" applyAlignment="1">
      <alignment horizontal="center" vertical="center" textRotation="90" wrapText="1"/>
    </xf>
    <xf numFmtId="0" fontId="13" fillId="7" borderId="11" xfId="0" applyFont="1" applyFill="1" applyBorder="1" applyAlignment="1">
      <alignment horizontal="center" vertical="center" textRotation="90" wrapText="1"/>
    </xf>
    <xf numFmtId="0" fontId="10" fillId="7" borderId="57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167" fontId="10" fillId="7" borderId="51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10" fillId="7" borderId="9" xfId="0" applyFont="1" applyFill="1" applyBorder="1" applyAlignment="1">
      <alignment horizontal="center" vertical="center" wrapText="1"/>
    </xf>
    <xf numFmtId="167" fontId="0" fillId="0" borderId="67" xfId="0" applyNumberFormat="1" applyBorder="1" applyAlignment="1">
      <alignment horizontal="center"/>
    </xf>
    <xf numFmtId="0" fontId="0" fillId="12" borderId="0" xfId="0" applyFill="1" applyAlignment="1">
      <alignment horizontal="center"/>
    </xf>
    <xf numFmtId="169" fontId="0" fillId="0" borderId="0" xfId="0" applyNumberFormat="1"/>
    <xf numFmtId="0" fontId="0" fillId="0" borderId="1" xfId="0" applyBorder="1" applyAlignment="1">
      <alignment horizontal="center" vertical="center"/>
    </xf>
    <xf numFmtId="167" fontId="0" fillId="0" borderId="1" xfId="1" applyNumberFormat="1" applyFont="1" applyBorder="1" applyAlignment="1">
      <alignment horizontal="center" vertical="center"/>
    </xf>
    <xf numFmtId="169" fontId="0" fillId="0" borderId="45" xfId="4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7" fontId="0" fillId="0" borderId="10" xfId="0" applyNumberFormat="1" applyBorder="1" applyAlignment="1">
      <alignment horizontal="center" vertical="center"/>
    </xf>
    <xf numFmtId="0" fontId="13" fillId="7" borderId="29" xfId="0" applyFont="1" applyFill="1" applyBorder="1" applyAlignment="1">
      <alignment horizontal="center" vertical="center" textRotation="90" wrapText="1"/>
    </xf>
    <xf numFmtId="0" fontId="0" fillId="0" borderId="50" xfId="0" applyBorder="1" applyAlignment="1">
      <alignment horizontal="center" wrapText="1"/>
    </xf>
    <xf numFmtId="0" fontId="7" fillId="9" borderId="51" xfId="0" applyFont="1" applyFill="1" applyBorder="1" applyAlignment="1">
      <alignment horizontal="center" wrapText="1"/>
    </xf>
    <xf numFmtId="0" fontId="7" fillId="9" borderId="51" xfId="0" applyFont="1" applyFill="1" applyBorder="1" applyAlignment="1">
      <alignment horizontal="center" vertical="center" wrapText="1"/>
    </xf>
    <xf numFmtId="0" fontId="13" fillId="7" borderId="54" xfId="0" applyFont="1" applyFill="1" applyBorder="1" applyAlignment="1">
      <alignment horizontal="center" vertical="center"/>
    </xf>
    <xf numFmtId="0" fontId="16" fillId="9" borderId="51" xfId="0" applyFont="1" applyFill="1" applyBorder="1" applyAlignment="1">
      <alignment horizontal="center" vertical="center" wrapText="1"/>
    </xf>
    <xf numFmtId="0" fontId="10" fillId="7" borderId="54" xfId="0" applyFont="1" applyFill="1" applyBorder="1" applyAlignment="1">
      <alignment horizontal="center" vertical="center" wrapText="1"/>
    </xf>
    <xf numFmtId="0" fontId="10" fillId="7" borderId="55" xfId="0" applyFont="1" applyFill="1" applyBorder="1" applyAlignment="1">
      <alignment horizontal="center" vertical="center" wrapText="1"/>
    </xf>
    <xf numFmtId="0" fontId="13" fillId="7" borderId="51" xfId="0" applyFont="1" applyFill="1" applyBorder="1" applyAlignment="1">
      <alignment horizontal="center" vertical="center" wrapText="1"/>
    </xf>
    <xf numFmtId="0" fontId="13" fillId="7" borderId="51" xfId="0" applyFont="1" applyFill="1" applyBorder="1" applyAlignment="1">
      <alignment horizontal="center" vertical="center"/>
    </xf>
    <xf numFmtId="167" fontId="10" fillId="7" borderId="51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10" fillId="7" borderId="9" xfId="0" applyFont="1" applyFill="1" applyBorder="1" applyAlignment="1">
      <alignment horizontal="center" vertical="center" wrapText="1"/>
    </xf>
    <xf numFmtId="9" fontId="0" fillId="0" borderId="10" xfId="5" applyFont="1" applyBorder="1" applyAlignment="1">
      <alignment horizontal="center"/>
    </xf>
    <xf numFmtId="9" fontId="10" fillId="7" borderId="53" xfId="5" applyFont="1" applyFill="1" applyBorder="1" applyAlignment="1">
      <alignment horizontal="center" vertical="center" wrapText="1"/>
    </xf>
    <xf numFmtId="9" fontId="0" fillId="0" borderId="7" xfId="5" applyFont="1" applyBorder="1"/>
    <xf numFmtId="9" fontId="0" fillId="0" borderId="0" xfId="5" applyFont="1"/>
    <xf numFmtId="9" fontId="10" fillId="7" borderId="53" xfId="0" applyNumberFormat="1" applyFont="1" applyFill="1" applyBorder="1" applyAlignment="1">
      <alignment horizontal="center" vertical="center" wrapText="1"/>
    </xf>
    <xf numFmtId="174" fontId="10" fillId="7" borderId="53" xfId="5" applyNumberFormat="1" applyFont="1" applyFill="1" applyBorder="1" applyAlignment="1">
      <alignment horizontal="center" vertical="center" wrapText="1"/>
    </xf>
    <xf numFmtId="10" fontId="0" fillId="0" borderId="0" xfId="5" applyNumberFormat="1" applyFont="1"/>
    <xf numFmtId="9" fontId="13" fillId="7" borderId="51" xfId="5" applyFont="1" applyFill="1" applyBorder="1" applyAlignment="1">
      <alignment horizontal="center" vertical="center" wrapText="1"/>
    </xf>
    <xf numFmtId="9" fontId="10" fillId="7" borderId="51" xfId="5" applyFont="1" applyFill="1" applyBorder="1" applyAlignment="1">
      <alignment horizontal="center" vertical="center" wrapText="1"/>
    </xf>
    <xf numFmtId="0" fontId="0" fillId="0" borderId="76" xfId="0" applyBorder="1"/>
    <xf numFmtId="0" fontId="13" fillId="7" borderId="58" xfId="0" applyFont="1" applyFill="1" applyBorder="1" applyAlignment="1">
      <alignment horizontal="center" vertical="center"/>
    </xf>
    <xf numFmtId="0" fontId="13" fillId="7" borderId="9" xfId="0" applyFont="1" applyFill="1" applyBorder="1" applyAlignment="1">
      <alignment horizontal="center" vertical="center"/>
    </xf>
    <xf numFmtId="10" fontId="0" fillId="0" borderId="27" xfId="0" applyNumberFormat="1" applyBorder="1"/>
    <xf numFmtId="10" fontId="0" fillId="0" borderId="39" xfId="0" applyNumberFormat="1" applyBorder="1"/>
    <xf numFmtId="0" fontId="0" fillId="0" borderId="41" xfId="0" applyBorder="1"/>
    <xf numFmtId="10" fontId="0" fillId="0" borderId="3" xfId="0" applyNumberFormat="1" applyBorder="1"/>
    <xf numFmtId="10" fontId="0" fillId="0" borderId="74" xfId="0" applyNumberFormat="1" applyBorder="1"/>
    <xf numFmtId="10" fontId="0" fillId="0" borderId="77" xfId="0" applyNumberFormat="1" applyBorder="1"/>
    <xf numFmtId="10" fontId="0" fillId="0" borderId="75" xfId="0" applyNumberFormat="1" applyBorder="1"/>
    <xf numFmtId="0" fontId="33" fillId="7" borderId="17" xfId="0" applyFont="1" applyFill="1" applyBorder="1" applyAlignment="1">
      <alignment horizontal="center" vertical="center" wrapText="1"/>
    </xf>
    <xf numFmtId="9" fontId="34" fillId="7" borderId="81" xfId="5" applyFont="1" applyFill="1" applyBorder="1" applyAlignment="1">
      <alignment horizontal="center" vertical="center" wrapText="1"/>
    </xf>
    <xf numFmtId="9" fontId="34" fillId="0" borderId="81" xfId="0" applyNumberFormat="1" applyFont="1" applyFill="1" applyBorder="1" applyAlignment="1">
      <alignment horizontal="center" vertical="center" wrapText="1"/>
    </xf>
    <xf numFmtId="0" fontId="33" fillId="7" borderId="0" xfId="0" applyFont="1" applyFill="1" applyBorder="1" applyAlignment="1">
      <alignment horizontal="center" vertical="center" wrapText="1"/>
    </xf>
    <xf numFmtId="0" fontId="35" fillId="0" borderId="52" xfId="0" applyFont="1" applyBorder="1" applyAlignment="1">
      <alignment horizontal="center" vertical="center" wrapText="1"/>
    </xf>
    <xf numFmtId="10" fontId="35" fillId="0" borderId="52" xfId="0" applyNumberFormat="1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5" fillId="0" borderId="53" xfId="0" applyFont="1" applyBorder="1" applyAlignment="1">
      <alignment horizontal="center" vertical="center" wrapText="1"/>
    </xf>
    <xf numFmtId="10" fontId="35" fillId="0" borderId="12" xfId="0" applyNumberFormat="1" applyFont="1" applyBorder="1" applyAlignment="1">
      <alignment horizontal="center" vertical="center" wrapText="1"/>
    </xf>
    <xf numFmtId="0" fontId="35" fillId="0" borderId="81" xfId="0" applyFont="1" applyBorder="1" applyAlignment="1">
      <alignment horizontal="center" vertical="center" wrapText="1"/>
    </xf>
    <xf numFmtId="0" fontId="33" fillId="7" borderId="52" xfId="0" applyFont="1" applyFill="1" applyBorder="1" applyAlignment="1">
      <alignment vertical="center" wrapText="1"/>
    </xf>
    <xf numFmtId="0" fontId="33" fillId="7" borderId="53" xfId="0" applyFont="1" applyFill="1" applyBorder="1" applyAlignment="1">
      <alignment vertical="center" wrapText="1"/>
    </xf>
    <xf numFmtId="0" fontId="33" fillId="7" borderId="53" xfId="0" applyFont="1" applyFill="1" applyBorder="1" applyAlignment="1">
      <alignment horizontal="center" vertical="center" wrapText="1"/>
    </xf>
    <xf numFmtId="0" fontId="38" fillId="7" borderId="53" xfId="0" applyFont="1" applyFill="1" applyBorder="1" applyAlignment="1">
      <alignment horizontal="center" vertical="center" wrapText="1"/>
    </xf>
    <xf numFmtId="0" fontId="38" fillId="7" borderId="52" xfId="0" applyFont="1" applyFill="1" applyBorder="1" applyAlignment="1">
      <alignment horizontal="center" vertical="center" wrapText="1"/>
    </xf>
    <xf numFmtId="0" fontId="0" fillId="8" borderId="0" xfId="0" applyFill="1"/>
    <xf numFmtId="169" fontId="0" fillId="8" borderId="0" xfId="4" applyNumberFormat="1" applyFont="1" applyFill="1"/>
    <xf numFmtId="0" fontId="10" fillId="7" borderId="35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168" fontId="40" fillId="11" borderId="0" xfId="0" applyNumberFormat="1" applyFont="1" applyFill="1"/>
    <xf numFmtId="168" fontId="0" fillId="0" borderId="53" xfId="0" applyNumberFormat="1" applyBorder="1"/>
    <xf numFmtId="43" fontId="0" fillId="0" borderId="53" xfId="4" applyFont="1" applyBorder="1"/>
    <xf numFmtId="17" fontId="10" fillId="7" borderId="54" xfId="4" applyNumberFormat="1" applyFont="1" applyFill="1" applyBorder="1" applyAlignment="1">
      <alignment horizontal="center" vertical="center" wrapText="1"/>
    </xf>
    <xf numFmtId="43" fontId="0" fillId="0" borderId="52" xfId="0" applyNumberFormat="1" applyBorder="1"/>
    <xf numFmtId="0" fontId="0" fillId="0" borderId="53" xfId="0" applyBorder="1"/>
    <xf numFmtId="0" fontId="10" fillId="7" borderId="0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/>
    </xf>
    <xf numFmtId="167" fontId="0" fillId="0" borderId="0" xfId="0" applyNumberFormat="1" applyBorder="1" applyAlignment="1">
      <alignment horizontal="center"/>
    </xf>
    <xf numFmtId="0" fontId="10" fillId="7" borderId="34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175" fontId="10" fillId="7" borderId="53" xfId="0" applyNumberFormat="1" applyFont="1" applyFill="1" applyBorder="1" applyAlignment="1">
      <alignment horizontal="center" vertical="center" wrapText="1"/>
    </xf>
    <xf numFmtId="175" fontId="10" fillId="7" borderId="51" xfId="0" applyNumberFormat="1" applyFont="1" applyFill="1" applyBorder="1" applyAlignment="1">
      <alignment horizontal="center" vertical="center" wrapText="1"/>
    </xf>
    <xf numFmtId="167" fontId="10" fillId="7" borderId="53" xfId="0" applyNumberFormat="1" applyFont="1" applyFill="1" applyBorder="1" applyAlignment="1">
      <alignment horizontal="center" vertical="center" wrapText="1"/>
    </xf>
    <xf numFmtId="167" fontId="0" fillId="0" borderId="10" xfId="0" applyNumberFormat="1" applyBorder="1" applyAlignment="1">
      <alignment horizontal="center"/>
    </xf>
    <xf numFmtId="175" fontId="10" fillId="7" borderId="53" xfId="0" applyNumberFormat="1" applyFont="1" applyFill="1" applyBorder="1" applyAlignment="1">
      <alignment horizontal="center" vertical="center" wrapText="1"/>
    </xf>
    <xf numFmtId="175" fontId="10" fillId="7" borderId="53" xfId="0" applyNumberFormat="1" applyFont="1" applyFill="1" applyBorder="1" applyAlignment="1">
      <alignment horizontal="center" vertical="center" wrapText="1"/>
    </xf>
    <xf numFmtId="0" fontId="0" fillId="0" borderId="0" xfId="0"/>
    <xf numFmtId="175" fontId="10" fillId="7" borderId="53" xfId="0" applyNumberFormat="1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7" borderId="9" xfId="0" applyFont="1" applyFill="1" applyBorder="1" applyAlignment="1">
      <alignment horizontal="center" vertical="center" wrapText="1"/>
    </xf>
    <xf numFmtId="175" fontId="0" fillId="0" borderId="0" xfId="0" applyNumberFormat="1" applyBorder="1" applyAlignment="1">
      <alignment horizontal="center"/>
    </xf>
    <xf numFmtId="0" fontId="0" fillId="10" borderId="24" xfId="0" applyFill="1" applyBorder="1" applyAlignment="1">
      <alignment horizontal="center" vertical="center"/>
    </xf>
    <xf numFmtId="0" fontId="0" fillId="10" borderId="11" xfId="0" applyFill="1" applyBorder="1" applyAlignment="1">
      <alignment vertical="center" wrapText="1"/>
    </xf>
    <xf numFmtId="0" fontId="0" fillId="10" borderId="1" xfId="0" applyFill="1" applyBorder="1" applyAlignment="1">
      <alignment horizontal="center"/>
    </xf>
    <xf numFmtId="0" fontId="10" fillId="7" borderId="54" xfId="0" applyFont="1" applyFill="1" applyBorder="1" applyAlignment="1">
      <alignment horizontal="center" vertical="center" wrapText="1"/>
    </xf>
    <xf numFmtId="0" fontId="10" fillId="7" borderId="35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0" fillId="7" borderId="35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0" fillId="7" borderId="34" xfId="0" applyFont="1" applyFill="1" applyBorder="1" applyAlignment="1">
      <alignment horizontal="left"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10" borderId="22" xfId="0" applyFill="1" applyBorder="1" applyAlignment="1">
      <alignment horizontal="left" vertical="center" wrapText="1"/>
    </xf>
    <xf numFmtId="0" fontId="0" fillId="12" borderId="0" xfId="0" applyFill="1" applyAlignment="1">
      <alignment horizontal="center" vertical="center"/>
    </xf>
    <xf numFmtId="0" fontId="0" fillId="12" borderId="0" xfId="0" applyFill="1" applyAlignment="1">
      <alignment vertical="center"/>
    </xf>
    <xf numFmtId="0" fontId="0" fillId="10" borderId="10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12" borderId="11" xfId="0" applyFill="1" applyBorder="1" applyAlignment="1">
      <alignment vertical="center" wrapText="1"/>
    </xf>
    <xf numFmtId="0" fontId="0" fillId="12" borderId="1" xfId="0" applyFill="1" applyBorder="1" applyAlignment="1">
      <alignment horizontal="center"/>
    </xf>
    <xf numFmtId="167" fontId="0" fillId="12" borderId="1" xfId="1" applyNumberFormat="1" applyFont="1" applyFill="1" applyBorder="1" applyAlignment="1">
      <alignment horizontal="center"/>
    </xf>
    <xf numFmtId="169" fontId="0" fillId="12" borderId="23" xfId="4" applyNumberFormat="1" applyFont="1" applyFill="1" applyBorder="1" applyAlignment="1">
      <alignment horizontal="center"/>
    </xf>
    <xf numFmtId="167" fontId="0" fillId="12" borderId="10" xfId="0" applyNumberFormat="1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175" fontId="0" fillId="12" borderId="0" xfId="0" applyNumberFormat="1" applyFill="1" applyBorder="1" applyAlignment="1">
      <alignment horizontal="center"/>
    </xf>
    <xf numFmtId="0" fontId="0" fillId="12" borderId="1" xfId="0" applyFill="1" applyBorder="1" applyAlignment="1">
      <alignment horizontal="left" vertical="center"/>
    </xf>
    <xf numFmtId="0" fontId="0" fillId="12" borderId="1" xfId="0" applyFill="1" applyBorder="1" applyAlignment="1">
      <alignment horizontal="left" vertical="center" wrapText="1"/>
    </xf>
    <xf numFmtId="0" fontId="0" fillId="12" borderId="24" xfId="0" applyFill="1" applyBorder="1" applyAlignment="1">
      <alignment horizontal="center" vertical="center"/>
    </xf>
    <xf numFmtId="175" fontId="0" fillId="12" borderId="0" xfId="0" applyNumberFormat="1" applyFill="1"/>
    <xf numFmtId="0" fontId="15" fillId="7" borderId="58" xfId="0" applyFont="1" applyFill="1" applyBorder="1" applyAlignment="1">
      <alignment vertical="center" wrapText="1"/>
    </xf>
    <xf numFmtId="0" fontId="0" fillId="10" borderId="88" xfId="0" applyFill="1" applyBorder="1" applyAlignment="1">
      <alignment horizontal="center" vertical="center"/>
    </xf>
    <xf numFmtId="169" fontId="10" fillId="7" borderId="29" xfId="4" applyNumberFormat="1" applyFont="1" applyFill="1" applyBorder="1" applyAlignment="1">
      <alignment horizontal="center" vertical="center" wrapText="1"/>
    </xf>
    <xf numFmtId="167" fontId="10" fillId="7" borderId="29" xfId="0" applyNumberFormat="1" applyFont="1" applyFill="1" applyBorder="1" applyAlignment="1">
      <alignment horizontal="center" vertical="center" wrapText="1"/>
    </xf>
    <xf numFmtId="175" fontId="10" fillId="7" borderId="29" xfId="0" applyNumberFormat="1" applyFont="1" applyFill="1" applyBorder="1" applyAlignment="1">
      <alignment horizontal="center" vertical="center" wrapText="1"/>
    </xf>
    <xf numFmtId="169" fontId="10" fillId="7" borderId="1" xfId="4" applyNumberFormat="1" applyFont="1" applyFill="1" applyBorder="1" applyAlignment="1">
      <alignment horizontal="center" vertical="center" wrapText="1"/>
    </xf>
    <xf numFmtId="175" fontId="0" fillId="0" borderId="1" xfId="0" applyNumberFormat="1" applyBorder="1" applyAlignment="1">
      <alignment horizontal="center"/>
    </xf>
    <xf numFmtId="0" fontId="0" fillId="10" borderId="1" xfId="0" applyFill="1" applyBorder="1" applyAlignment="1">
      <alignment vertical="center" wrapText="1"/>
    </xf>
    <xf numFmtId="167" fontId="0" fillId="10" borderId="1" xfId="1" applyNumberFormat="1" applyFont="1" applyFill="1" applyBorder="1" applyAlignment="1">
      <alignment horizontal="center"/>
    </xf>
    <xf numFmtId="169" fontId="0" fillId="10" borderId="1" xfId="4" applyNumberFormat="1" applyFont="1" applyFill="1" applyBorder="1" applyAlignment="1">
      <alignment horizontal="center"/>
    </xf>
    <xf numFmtId="167" fontId="0" fillId="10" borderId="1" xfId="0" applyNumberFormat="1" applyFill="1" applyBorder="1" applyAlignment="1">
      <alignment horizontal="center"/>
    </xf>
    <xf numFmtId="0" fontId="10" fillId="7" borderId="5" xfId="0" applyFont="1" applyFill="1" applyBorder="1" applyAlignment="1">
      <alignment horizontal="center" vertical="center" wrapText="1"/>
    </xf>
    <xf numFmtId="169" fontId="10" fillId="7" borderId="5" xfId="4" applyNumberFormat="1" applyFont="1" applyFill="1" applyBorder="1" applyAlignment="1">
      <alignment horizontal="center" vertical="center" wrapText="1"/>
    </xf>
    <xf numFmtId="0" fontId="0" fillId="10" borderId="59" xfId="0" applyFill="1" applyBorder="1" applyAlignment="1">
      <alignment horizontal="center" vertical="center"/>
    </xf>
    <xf numFmtId="0" fontId="0" fillId="10" borderId="6" xfId="0" applyFill="1" applyBorder="1" applyAlignment="1">
      <alignment vertical="center" wrapText="1"/>
    </xf>
    <xf numFmtId="0" fontId="0" fillId="10" borderId="6" xfId="0" applyFill="1" applyBorder="1" applyAlignment="1">
      <alignment horizontal="center"/>
    </xf>
    <xf numFmtId="167" fontId="0" fillId="10" borderId="6" xfId="1" applyNumberFormat="1" applyFont="1" applyFill="1" applyBorder="1" applyAlignment="1">
      <alignment horizontal="center"/>
    </xf>
    <xf numFmtId="169" fontId="0" fillId="10" borderId="6" xfId="4" applyNumberFormat="1" applyFont="1" applyFill="1" applyBorder="1" applyAlignment="1">
      <alignment horizontal="center"/>
    </xf>
    <xf numFmtId="167" fontId="0" fillId="10" borderId="6" xfId="0" applyNumberFormat="1" applyFill="1" applyBorder="1" applyAlignment="1">
      <alignment horizontal="center"/>
    </xf>
    <xf numFmtId="175" fontId="0" fillId="0" borderId="6" xfId="0" applyNumberFormat="1" applyBorder="1" applyAlignment="1">
      <alignment horizontal="center"/>
    </xf>
    <xf numFmtId="0" fontId="0" fillId="12" borderId="6" xfId="0" applyFill="1" applyBorder="1" applyAlignment="1">
      <alignment horizontal="left" vertical="center" wrapText="1"/>
    </xf>
    <xf numFmtId="0" fontId="0" fillId="12" borderId="1" xfId="0" applyFill="1" applyBorder="1" applyAlignment="1">
      <alignment horizontal="center" vertical="center"/>
    </xf>
    <xf numFmtId="0" fontId="0" fillId="12" borderId="1" xfId="0" applyFill="1" applyBorder="1" applyAlignment="1">
      <alignment vertical="center" wrapText="1"/>
    </xf>
    <xf numFmtId="169" fontId="0" fillId="12" borderId="1" xfId="4" applyNumberFormat="1" applyFont="1" applyFill="1" applyBorder="1" applyAlignment="1">
      <alignment horizontal="center"/>
    </xf>
    <xf numFmtId="167" fontId="0" fillId="12" borderId="1" xfId="0" applyNumberFormat="1" applyFill="1" applyBorder="1" applyAlignment="1">
      <alignment horizontal="center"/>
    </xf>
    <xf numFmtId="175" fontId="0" fillId="12" borderId="1" xfId="0" applyNumberFormat="1" applyFill="1" applyBorder="1" applyAlignment="1">
      <alignment horizontal="center"/>
    </xf>
    <xf numFmtId="0" fontId="0" fillId="12" borderId="18" xfId="0" applyFill="1" applyBorder="1" applyAlignment="1">
      <alignment vertical="center" wrapText="1"/>
    </xf>
    <xf numFmtId="167" fontId="0" fillId="12" borderId="10" xfId="1" applyNumberFormat="1" applyFont="1" applyFill="1" applyBorder="1" applyAlignment="1">
      <alignment horizontal="center"/>
    </xf>
    <xf numFmtId="169" fontId="0" fillId="12" borderId="45" xfId="4" applyNumberFormat="1" applyFont="1" applyFill="1" applyBorder="1" applyAlignment="1">
      <alignment horizontal="center"/>
    </xf>
    <xf numFmtId="0" fontId="0" fillId="12" borderId="22" xfId="0" applyFill="1" applyBorder="1" applyAlignment="1">
      <alignment vertical="center" wrapText="1"/>
    </xf>
    <xf numFmtId="0" fontId="0" fillId="12" borderId="15" xfId="0" applyFill="1" applyBorder="1" applyAlignment="1">
      <alignment horizontal="center"/>
    </xf>
    <xf numFmtId="167" fontId="0" fillId="12" borderId="1" xfId="1" applyNumberFormat="1" applyFont="1" applyFill="1" applyBorder="1" applyAlignment="1">
      <alignment horizontal="center" vertical="center"/>
    </xf>
    <xf numFmtId="169" fontId="0" fillId="12" borderId="45" xfId="4" applyNumberFormat="1" applyFont="1" applyFill="1" applyBorder="1" applyAlignment="1">
      <alignment horizontal="center" vertical="center"/>
    </xf>
    <xf numFmtId="167" fontId="0" fillId="12" borderId="10" xfId="0" applyNumberFormat="1" applyFill="1" applyBorder="1" applyAlignment="1">
      <alignment horizontal="center" vertical="center"/>
    </xf>
    <xf numFmtId="0" fontId="0" fillId="12" borderId="11" xfId="0" applyFill="1" applyBorder="1" applyAlignment="1">
      <alignment horizontal="left" vertical="center" wrapText="1"/>
    </xf>
    <xf numFmtId="0" fontId="0" fillId="12" borderId="49" xfId="0" applyFill="1" applyBorder="1" applyAlignment="1">
      <alignment horizontal="center"/>
    </xf>
    <xf numFmtId="0" fontId="10" fillId="7" borderId="0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10" fillId="7" borderId="9" xfId="0" applyFont="1" applyFill="1" applyBorder="1" applyAlignment="1">
      <alignment horizontal="center" vertical="center" wrapText="1"/>
    </xf>
    <xf numFmtId="176" fontId="0" fillId="0" borderId="0" xfId="0" applyNumberFormat="1" applyAlignment="1">
      <alignment horizontal="left" vertical="center"/>
    </xf>
    <xf numFmtId="175" fontId="0" fillId="0" borderId="0" xfId="0" applyNumberFormat="1"/>
    <xf numFmtId="0" fontId="0" fillId="0" borderId="0" xfId="0" applyAlignment="1">
      <alignment wrapText="1"/>
    </xf>
    <xf numFmtId="44" fontId="0" fillId="0" borderId="0" xfId="1" applyFont="1"/>
    <xf numFmtId="44" fontId="0" fillId="0" borderId="0" xfId="0" applyNumberFormat="1"/>
    <xf numFmtId="0" fontId="30" fillId="11" borderId="54" xfId="0" applyFont="1" applyFill="1" applyBorder="1" applyAlignment="1">
      <alignment horizontal="center" vertical="center" wrapText="1"/>
    </xf>
    <xf numFmtId="0" fontId="30" fillId="11" borderId="58" xfId="0" applyFont="1" applyFill="1" applyBorder="1" applyAlignment="1">
      <alignment horizontal="center" vertical="center" wrapText="1"/>
    </xf>
    <xf numFmtId="0" fontId="30" fillId="11" borderId="55" xfId="0" applyFont="1" applyFill="1" applyBorder="1" applyAlignment="1">
      <alignment horizontal="center" vertical="center" wrapText="1"/>
    </xf>
    <xf numFmtId="0" fontId="30" fillId="11" borderId="47" xfId="0" applyFont="1" applyFill="1" applyBorder="1" applyAlignment="1">
      <alignment horizontal="center" vertical="center" wrapText="1"/>
    </xf>
    <xf numFmtId="0" fontId="30" fillId="11" borderId="13" xfId="0" applyFont="1" applyFill="1" applyBorder="1" applyAlignment="1">
      <alignment horizontal="center" vertical="center" wrapText="1"/>
    </xf>
    <xf numFmtId="0" fontId="30" fillId="11" borderId="12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left" wrapText="1"/>
    </xf>
    <xf numFmtId="0" fontId="2" fillId="14" borderId="16" xfId="0" applyFont="1" applyFill="1" applyBorder="1" applyAlignment="1">
      <alignment horizontal="center" vertical="center" wrapText="1"/>
    </xf>
    <xf numFmtId="0" fontId="2" fillId="14" borderId="46" xfId="0" applyFont="1" applyFill="1" applyBorder="1" applyAlignment="1">
      <alignment horizontal="center" vertical="center" wrapText="1"/>
    </xf>
    <xf numFmtId="0" fontId="2" fillId="14" borderId="65" xfId="0" applyFont="1" applyFill="1" applyBorder="1" applyAlignment="1">
      <alignment horizontal="center" vertical="center" wrapText="1"/>
    </xf>
    <xf numFmtId="0" fontId="0" fillId="14" borderId="6" xfId="0" applyFill="1" applyBorder="1" applyAlignment="1">
      <alignment horizontal="left"/>
    </xf>
    <xf numFmtId="0" fontId="0" fillId="14" borderId="1" xfId="0" applyFill="1" applyBorder="1" applyAlignment="1">
      <alignment horizontal="left"/>
    </xf>
    <xf numFmtId="0" fontId="25" fillId="10" borderId="54" xfId="0" applyFont="1" applyFill="1" applyBorder="1" applyAlignment="1">
      <alignment horizontal="center" vertical="center" wrapText="1"/>
    </xf>
    <xf numFmtId="0" fontId="25" fillId="10" borderId="55" xfId="0" applyFont="1" applyFill="1" applyBorder="1" applyAlignment="1">
      <alignment horizontal="center" vertical="center" wrapText="1"/>
    </xf>
    <xf numFmtId="0" fontId="25" fillId="10" borderId="47" xfId="0" applyFont="1" applyFill="1" applyBorder="1" applyAlignment="1">
      <alignment horizontal="center" vertical="center" wrapText="1"/>
    </xf>
    <xf numFmtId="0" fontId="25" fillId="10" borderId="12" xfId="0" applyFont="1" applyFill="1" applyBorder="1" applyAlignment="1">
      <alignment horizontal="center" vertical="center" wrapText="1"/>
    </xf>
    <xf numFmtId="0" fontId="25" fillId="0" borderId="54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10" borderId="51" xfId="0" applyFont="1" applyFill="1" applyBorder="1" applyAlignment="1">
      <alignment horizontal="center" vertical="center" wrapText="1"/>
    </xf>
    <xf numFmtId="0" fontId="25" fillId="10" borderId="52" xfId="0" applyFont="1" applyFill="1" applyBorder="1" applyAlignment="1">
      <alignment horizontal="center" vertical="center" wrapText="1"/>
    </xf>
    <xf numFmtId="0" fontId="0" fillId="14" borderId="2" xfId="0" applyFill="1" applyBorder="1" applyAlignment="1">
      <alignment horizontal="left" wrapText="1"/>
    </xf>
    <xf numFmtId="0" fontId="0" fillId="14" borderId="3" xfId="0" applyFill="1" applyBorder="1" applyAlignment="1">
      <alignment horizontal="left" wrapText="1"/>
    </xf>
    <xf numFmtId="0" fontId="0" fillId="14" borderId="4" xfId="0" applyFill="1" applyBorder="1" applyAlignment="1">
      <alignment horizontal="left" wrapText="1"/>
    </xf>
    <xf numFmtId="0" fontId="0" fillId="14" borderId="5" xfId="0" applyFill="1" applyBorder="1" applyAlignment="1">
      <alignment horizontal="left"/>
    </xf>
    <xf numFmtId="168" fontId="0" fillId="14" borderId="51" xfId="0" applyNumberFormat="1" applyFill="1" applyBorder="1" applyAlignment="1">
      <alignment horizontal="center"/>
    </xf>
    <xf numFmtId="168" fontId="0" fillId="14" borderId="50" xfId="0" applyNumberFormat="1" applyFill="1" applyBorder="1" applyAlignment="1">
      <alignment horizontal="center"/>
    </xf>
    <xf numFmtId="168" fontId="0" fillId="14" borderId="52" xfId="0" applyNumberFormat="1" applyFill="1" applyBorder="1" applyAlignment="1">
      <alignment horizontal="center"/>
    </xf>
    <xf numFmtId="168" fontId="0" fillId="14" borderId="54" xfId="0" applyNumberFormat="1" applyFill="1" applyBorder="1" applyAlignment="1">
      <alignment horizontal="center"/>
    </xf>
    <xf numFmtId="168" fontId="0" fillId="14" borderId="58" xfId="0" applyNumberFormat="1" applyFill="1" applyBorder="1" applyAlignment="1">
      <alignment horizontal="center"/>
    </xf>
    <xf numFmtId="0" fontId="25" fillId="0" borderId="16" xfId="0" applyFont="1" applyBorder="1" applyAlignment="1">
      <alignment horizontal="center" vertical="center"/>
    </xf>
    <xf numFmtId="0" fontId="25" fillId="0" borderId="65" xfId="0" applyFont="1" applyBorder="1" applyAlignment="1">
      <alignment horizontal="center" vertical="center"/>
    </xf>
    <xf numFmtId="0" fontId="0" fillId="14" borderId="6" xfId="0" applyFill="1" applyBorder="1" applyAlignment="1">
      <alignment horizontal="left" wrapText="1"/>
    </xf>
    <xf numFmtId="0" fontId="25" fillId="10" borderId="35" xfId="0" applyFont="1" applyFill="1" applyBorder="1" applyAlignment="1">
      <alignment horizontal="center" vertical="center" wrapText="1"/>
    </xf>
    <xf numFmtId="0" fontId="25" fillId="10" borderId="17" xfId="0" applyFont="1" applyFill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 vertical="top"/>
    </xf>
    <xf numFmtId="0" fontId="4" fillId="2" borderId="46" xfId="0" applyFont="1" applyFill="1" applyBorder="1" applyAlignment="1">
      <alignment horizontal="center" vertical="top"/>
    </xf>
    <xf numFmtId="0" fontId="4" fillId="2" borderId="65" xfId="0" applyFont="1" applyFill="1" applyBorder="1" applyAlignment="1">
      <alignment horizontal="center" vertical="top"/>
    </xf>
    <xf numFmtId="0" fontId="4" fillId="0" borderId="1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0" fontId="0" fillId="3" borderId="76" xfId="0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77" xfId="0" applyBorder="1" applyAlignment="1">
      <alignment horizontal="left" vertical="top" wrapText="1"/>
    </xf>
    <xf numFmtId="0" fontId="0" fillId="3" borderId="41" xfId="0" applyFill="1" applyBorder="1" applyAlignment="1">
      <alignment horizontal="left" vertical="top"/>
    </xf>
    <xf numFmtId="0" fontId="0" fillId="3" borderId="74" xfId="0" applyFill="1" applyBorder="1" applyAlignment="1">
      <alignment horizontal="left" vertical="top"/>
    </xf>
    <xf numFmtId="0" fontId="0" fillId="3" borderId="21" xfId="0" applyFill="1" applyBorder="1" applyAlignment="1">
      <alignment horizontal="left" vertical="top"/>
    </xf>
    <xf numFmtId="0" fontId="0" fillId="0" borderId="40" xfId="0" applyBorder="1" applyAlignment="1">
      <alignment horizontal="left" vertical="top" wrapText="1"/>
    </xf>
    <xf numFmtId="0" fontId="0" fillId="0" borderId="74" xfId="0" applyBorder="1" applyAlignment="1">
      <alignment horizontal="left" vertical="top" wrapText="1"/>
    </xf>
    <xf numFmtId="0" fontId="0" fillId="0" borderId="75" xfId="0" applyBorder="1" applyAlignment="1">
      <alignment horizontal="left" vertical="top" wrapText="1"/>
    </xf>
    <xf numFmtId="0" fontId="0" fillId="0" borderId="0" xfId="0" applyBorder="1" applyAlignment="1">
      <alignment horizontal="center"/>
    </xf>
    <xf numFmtId="0" fontId="0" fillId="2" borderId="76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41" xfId="0" applyFill="1" applyBorder="1" applyAlignment="1">
      <alignment horizontal="left" vertical="top" wrapText="1"/>
    </xf>
    <xf numFmtId="0" fontId="0" fillId="2" borderId="74" xfId="0" applyFill="1" applyBorder="1" applyAlignment="1">
      <alignment horizontal="left" vertical="top" wrapText="1"/>
    </xf>
    <xf numFmtId="0" fontId="0" fillId="2" borderId="21" xfId="0" applyFill="1" applyBorder="1" applyAlignment="1">
      <alignment horizontal="left" vertical="top" wrapText="1"/>
    </xf>
    <xf numFmtId="0" fontId="5" fillId="0" borderId="40" xfId="0" applyFont="1" applyBorder="1" applyAlignment="1">
      <alignment horizontal="left" vertical="top" wrapText="1"/>
    </xf>
    <xf numFmtId="0" fontId="5" fillId="0" borderId="74" xfId="0" applyFont="1" applyBorder="1" applyAlignment="1">
      <alignment horizontal="left" vertical="top" wrapText="1"/>
    </xf>
    <xf numFmtId="0" fontId="5" fillId="0" borderId="75" xfId="0" applyFont="1" applyBorder="1" applyAlignment="1">
      <alignment horizontal="left" vertical="top" wrapText="1"/>
    </xf>
    <xf numFmtId="0" fontId="7" fillId="8" borderId="51" xfId="0" applyFont="1" applyFill="1" applyBorder="1" applyAlignment="1">
      <alignment horizontal="center" vertical="center" wrapText="1"/>
    </xf>
    <xf numFmtId="0" fontId="7" fillId="8" borderId="50" xfId="0" applyFont="1" applyFill="1" applyBorder="1" applyAlignment="1">
      <alignment horizontal="center" vertical="center" wrapText="1"/>
    </xf>
    <xf numFmtId="0" fontId="7" fillId="8" borderId="52" xfId="0" applyFont="1" applyFill="1" applyBorder="1" applyAlignment="1">
      <alignment horizontal="center" vertical="center" wrapText="1"/>
    </xf>
    <xf numFmtId="168" fontId="0" fillId="10" borderId="5" xfId="1" applyNumberFormat="1" applyFont="1" applyFill="1" applyBorder="1" applyAlignment="1">
      <alignment horizontal="center" vertical="center" wrapText="1"/>
    </xf>
    <xf numFmtId="168" fontId="0" fillId="10" borderId="8" xfId="1" applyNumberFormat="1" applyFont="1" applyFill="1" applyBorder="1" applyAlignment="1">
      <alignment horizontal="center" vertical="center" wrapText="1"/>
    </xf>
    <xf numFmtId="168" fontId="0" fillId="10" borderId="6" xfId="1" applyNumberFormat="1" applyFont="1" applyFill="1" applyBorder="1" applyAlignment="1">
      <alignment horizontal="center" vertical="center" wrapText="1"/>
    </xf>
    <xf numFmtId="168" fontId="0" fillId="0" borderId="67" xfId="1" applyNumberFormat="1" applyFont="1" applyBorder="1" applyAlignment="1">
      <alignment horizontal="center" vertical="center" wrapText="1"/>
    </xf>
    <xf numFmtId="168" fontId="0" fillId="0" borderId="8" xfId="1" applyNumberFormat="1" applyFont="1" applyBorder="1" applyAlignment="1">
      <alignment horizontal="center" vertical="center" wrapText="1"/>
    </xf>
    <xf numFmtId="168" fontId="0" fillId="0" borderId="14" xfId="1" applyNumberFormat="1" applyFont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vertical="center" textRotation="90" wrapText="1"/>
    </xf>
    <xf numFmtId="0" fontId="13" fillId="7" borderId="34" xfId="0" applyFont="1" applyFill="1" applyBorder="1" applyAlignment="1">
      <alignment horizontal="center" vertical="center" textRotation="90" wrapText="1"/>
    </xf>
    <xf numFmtId="0" fontId="13" fillId="7" borderId="29" xfId="0" applyFont="1" applyFill="1" applyBorder="1" applyAlignment="1">
      <alignment horizontal="center" vertical="center" textRotation="90" wrapText="1"/>
    </xf>
    <xf numFmtId="0" fontId="13" fillId="7" borderId="57" xfId="0" applyFont="1" applyFill="1" applyBorder="1" applyAlignment="1">
      <alignment horizontal="center" vertical="center" textRotation="90" wrapText="1"/>
    </xf>
    <xf numFmtId="0" fontId="13" fillId="7" borderId="56" xfId="0" applyFont="1" applyFill="1" applyBorder="1" applyAlignment="1">
      <alignment horizontal="center" vertical="center" textRotation="90" wrapText="1"/>
    </xf>
    <xf numFmtId="0" fontId="10" fillId="7" borderId="58" xfId="0" applyFont="1" applyFill="1" applyBorder="1" applyAlignment="1">
      <alignment horizontal="center" vertical="center" wrapText="1"/>
    </xf>
    <xf numFmtId="168" fontId="10" fillId="12" borderId="16" xfId="0" applyNumberFormat="1" applyFont="1" applyFill="1" applyBorder="1" applyAlignment="1">
      <alignment horizontal="center" vertical="center" wrapText="1"/>
    </xf>
    <xf numFmtId="168" fontId="10" fillId="12" borderId="69" xfId="0" applyNumberFormat="1" applyFont="1" applyFill="1" applyBorder="1" applyAlignment="1">
      <alignment horizontal="center" vertical="center" wrapText="1"/>
    </xf>
    <xf numFmtId="0" fontId="13" fillId="7" borderId="18" xfId="0" applyFont="1" applyFill="1" applyBorder="1" applyAlignment="1">
      <alignment horizontal="center" vertical="center" textRotation="90" wrapText="1"/>
    </xf>
    <xf numFmtId="0" fontId="13" fillId="7" borderId="11" xfId="0" applyFont="1" applyFill="1" applyBorder="1" applyAlignment="1">
      <alignment horizontal="center" vertical="center" textRotation="90" wrapText="1"/>
    </xf>
    <xf numFmtId="0" fontId="13" fillId="7" borderId="22" xfId="0" applyFont="1" applyFill="1" applyBorder="1" applyAlignment="1">
      <alignment horizontal="center" vertical="center" textRotation="90" wrapText="1"/>
    </xf>
    <xf numFmtId="0" fontId="13" fillId="7" borderId="48" xfId="0" applyFont="1" applyFill="1" applyBorder="1" applyAlignment="1">
      <alignment horizontal="center" vertical="center" textRotation="90" wrapText="1"/>
    </xf>
    <xf numFmtId="0" fontId="10" fillId="7" borderId="57" xfId="0" applyFont="1" applyFill="1" applyBorder="1" applyAlignment="1">
      <alignment horizontal="center" vertical="center" wrapText="1"/>
    </xf>
    <xf numFmtId="0" fontId="10" fillId="7" borderId="56" xfId="0" applyFont="1" applyFill="1" applyBorder="1" applyAlignment="1">
      <alignment horizontal="center" vertical="center" wrapText="1"/>
    </xf>
    <xf numFmtId="0" fontId="10" fillId="7" borderId="48" xfId="0" applyFont="1" applyFill="1" applyBorder="1" applyAlignment="1">
      <alignment horizontal="center" vertical="center" wrapText="1"/>
    </xf>
    <xf numFmtId="0" fontId="17" fillId="7" borderId="9" xfId="0" applyFont="1" applyFill="1" applyBorder="1" applyAlignment="1">
      <alignment horizontal="center" vertical="center" wrapText="1"/>
    </xf>
    <xf numFmtId="0" fontId="17" fillId="7" borderId="34" xfId="0" applyFont="1" applyFill="1" applyBorder="1" applyAlignment="1">
      <alignment horizontal="center" vertical="center" wrapText="1"/>
    </xf>
    <xf numFmtId="0" fontId="17" fillId="7" borderId="29" xfId="0" applyFont="1" applyFill="1" applyBorder="1" applyAlignment="1">
      <alignment horizontal="center" vertical="center" wrapText="1"/>
    </xf>
    <xf numFmtId="168" fontId="10" fillId="12" borderId="48" xfId="0" applyNumberFormat="1" applyFont="1" applyFill="1" applyBorder="1" applyAlignment="1">
      <alignment horizontal="center" vertical="center" wrapText="1"/>
    </xf>
    <xf numFmtId="168" fontId="10" fillId="12" borderId="78" xfId="0" applyNumberFormat="1" applyFont="1" applyFill="1" applyBorder="1" applyAlignment="1">
      <alignment horizontal="center" vertical="center" wrapText="1"/>
    </xf>
    <xf numFmtId="0" fontId="7" fillId="8" borderId="51" xfId="0" applyFont="1" applyFill="1" applyBorder="1" applyAlignment="1">
      <alignment horizontal="center" wrapText="1"/>
    </xf>
    <xf numFmtId="0" fontId="7" fillId="8" borderId="50" xfId="0" applyFont="1" applyFill="1" applyBorder="1" applyAlignment="1">
      <alignment horizontal="center" wrapText="1"/>
    </xf>
    <xf numFmtId="0" fontId="7" fillId="8" borderId="52" xfId="0" applyFont="1" applyFill="1" applyBorder="1" applyAlignment="1">
      <alignment horizontal="center" wrapText="1"/>
    </xf>
    <xf numFmtId="168" fontId="10" fillId="7" borderId="47" xfId="0" applyNumberFormat="1" applyFont="1" applyFill="1" applyBorder="1" applyAlignment="1">
      <alignment horizontal="center" vertical="center" wrapText="1"/>
    </xf>
    <xf numFmtId="168" fontId="10" fillId="7" borderId="12" xfId="0" applyNumberFormat="1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textRotation="90" wrapText="1"/>
    </xf>
    <xf numFmtId="0" fontId="10" fillId="7" borderId="34" xfId="0" applyFont="1" applyFill="1" applyBorder="1" applyAlignment="1">
      <alignment horizontal="center" vertical="center" textRotation="90" wrapText="1"/>
    </xf>
    <xf numFmtId="0" fontId="10" fillId="7" borderId="29" xfId="0" applyFont="1" applyFill="1" applyBorder="1" applyAlignment="1">
      <alignment horizontal="center" vertical="center" textRotation="90" wrapText="1"/>
    </xf>
    <xf numFmtId="0" fontId="27" fillId="0" borderId="51" xfId="0" applyFont="1" applyBorder="1" applyAlignment="1">
      <alignment horizontal="center" vertical="center"/>
    </xf>
    <xf numFmtId="0" fontId="27" fillId="0" borderId="52" xfId="0" applyFont="1" applyBorder="1" applyAlignment="1">
      <alignment horizontal="center" vertical="center"/>
    </xf>
    <xf numFmtId="168" fontId="10" fillId="7" borderId="54" xfId="0" applyNumberFormat="1" applyFont="1" applyFill="1" applyBorder="1" applyAlignment="1">
      <alignment horizontal="center" vertical="center" wrapText="1"/>
    </xf>
    <xf numFmtId="168" fontId="10" fillId="7" borderId="55" xfId="0" applyNumberFormat="1" applyFont="1" applyFill="1" applyBorder="1" applyAlignment="1">
      <alignment horizontal="center" vertical="center" wrapText="1"/>
    </xf>
    <xf numFmtId="168" fontId="10" fillId="7" borderId="51" xfId="0" applyNumberFormat="1" applyFont="1" applyFill="1" applyBorder="1" applyAlignment="1">
      <alignment horizontal="center" vertical="center" wrapText="1"/>
    </xf>
    <xf numFmtId="168" fontId="10" fillId="7" borderId="52" xfId="0" applyNumberFormat="1" applyFont="1" applyFill="1" applyBorder="1" applyAlignment="1">
      <alignment horizontal="center" vertical="center" wrapText="1"/>
    </xf>
    <xf numFmtId="0" fontId="7" fillId="9" borderId="51" xfId="0" applyFont="1" applyFill="1" applyBorder="1" applyAlignment="1">
      <alignment horizontal="center" vertical="center" wrapText="1"/>
    </xf>
    <xf numFmtId="0" fontId="7" fillId="9" borderId="52" xfId="0" applyFont="1" applyFill="1" applyBorder="1" applyAlignment="1">
      <alignment horizontal="center" vertical="center" wrapText="1"/>
    </xf>
    <xf numFmtId="0" fontId="13" fillId="7" borderId="54" xfId="0" applyFont="1" applyFill="1" applyBorder="1" applyAlignment="1">
      <alignment horizontal="center" vertical="center" wrapText="1"/>
    </xf>
    <xf numFmtId="0" fontId="13" fillId="7" borderId="58" xfId="0" applyFont="1" applyFill="1" applyBorder="1" applyAlignment="1">
      <alignment horizontal="center" vertical="center" wrapText="1"/>
    </xf>
    <xf numFmtId="0" fontId="13" fillId="7" borderId="55" xfId="0" applyFont="1" applyFill="1" applyBorder="1" applyAlignment="1">
      <alignment horizontal="center" vertical="center" wrapText="1"/>
    </xf>
    <xf numFmtId="0" fontId="13" fillId="7" borderId="47" xfId="0" applyFont="1" applyFill="1" applyBorder="1" applyAlignment="1">
      <alignment horizontal="center" vertical="center" wrapText="1"/>
    </xf>
    <xf numFmtId="0" fontId="13" fillId="7" borderId="13" xfId="0" applyFont="1" applyFill="1" applyBorder="1" applyAlignment="1">
      <alignment horizontal="center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13" fillId="7" borderId="51" xfId="0" applyFont="1" applyFill="1" applyBorder="1" applyAlignment="1">
      <alignment horizontal="center" vertical="center" wrapText="1"/>
    </xf>
    <xf numFmtId="0" fontId="13" fillId="7" borderId="50" xfId="0" applyFont="1" applyFill="1" applyBorder="1" applyAlignment="1">
      <alignment horizontal="center" vertical="center" wrapText="1"/>
    </xf>
    <xf numFmtId="0" fontId="13" fillId="7" borderId="52" xfId="0" applyFont="1" applyFill="1" applyBorder="1" applyAlignment="1">
      <alignment horizontal="center" vertical="center" wrapText="1"/>
    </xf>
    <xf numFmtId="0" fontId="13" fillId="7" borderId="51" xfId="0" applyFont="1" applyFill="1" applyBorder="1" applyAlignment="1">
      <alignment horizontal="center" vertical="center"/>
    </xf>
    <xf numFmtId="0" fontId="13" fillId="7" borderId="52" xfId="0" applyFont="1" applyFill="1" applyBorder="1" applyAlignment="1">
      <alignment horizontal="center" vertical="center"/>
    </xf>
    <xf numFmtId="0" fontId="10" fillId="7" borderId="54" xfId="0" applyFont="1" applyFill="1" applyBorder="1" applyAlignment="1">
      <alignment horizontal="center" vertical="center" wrapText="1"/>
    </xf>
    <xf numFmtId="0" fontId="10" fillId="7" borderId="55" xfId="0" applyFont="1" applyFill="1" applyBorder="1" applyAlignment="1">
      <alignment horizontal="center" vertical="center" wrapText="1"/>
    </xf>
    <xf numFmtId="167" fontId="13" fillId="7" borderId="51" xfId="1" applyNumberFormat="1" applyFont="1" applyFill="1" applyBorder="1" applyAlignment="1">
      <alignment horizontal="center" vertical="center" wrapText="1"/>
    </xf>
    <xf numFmtId="167" fontId="13" fillId="7" borderId="50" xfId="1" applyNumberFormat="1" applyFont="1" applyFill="1" applyBorder="1" applyAlignment="1">
      <alignment horizontal="center" vertical="center" wrapText="1"/>
    </xf>
    <xf numFmtId="167" fontId="13" fillId="7" borderId="52" xfId="1" applyNumberFormat="1" applyFont="1" applyFill="1" applyBorder="1" applyAlignment="1">
      <alignment horizontal="center" vertical="center" wrapText="1"/>
    </xf>
    <xf numFmtId="167" fontId="10" fillId="7" borderId="51" xfId="0" applyNumberFormat="1" applyFont="1" applyFill="1" applyBorder="1" applyAlignment="1">
      <alignment horizontal="center" vertical="center" wrapText="1"/>
    </xf>
    <xf numFmtId="167" fontId="10" fillId="7" borderId="52" xfId="0" applyNumberFormat="1" applyFont="1" applyFill="1" applyBorder="1" applyAlignment="1">
      <alignment horizontal="center" vertical="center" wrapText="1"/>
    </xf>
    <xf numFmtId="0" fontId="10" fillId="7" borderId="35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5" fillId="7" borderId="54" xfId="0" applyFont="1" applyFill="1" applyBorder="1" applyAlignment="1">
      <alignment horizontal="center" vertical="center" wrapText="1"/>
    </xf>
    <xf numFmtId="0" fontId="15" fillId="7" borderId="55" xfId="0" applyFont="1" applyFill="1" applyBorder="1" applyAlignment="1">
      <alignment horizontal="center" vertical="center" wrapText="1"/>
    </xf>
    <xf numFmtId="0" fontId="15" fillId="7" borderId="35" xfId="0" applyFont="1" applyFill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wrapText="1"/>
    </xf>
    <xf numFmtId="0" fontId="15" fillId="7" borderId="47" xfId="0" applyFont="1" applyFill="1" applyBorder="1" applyAlignment="1">
      <alignment horizontal="center" vertical="center" wrapText="1"/>
    </xf>
    <xf numFmtId="0" fontId="15" fillId="7" borderId="12" xfId="0" applyFont="1" applyFill="1" applyBorder="1" applyAlignment="1">
      <alignment horizontal="center" vertical="center" wrapText="1"/>
    </xf>
    <xf numFmtId="0" fontId="13" fillId="7" borderId="35" xfId="0" applyFont="1" applyFill="1" applyBorder="1" applyAlignment="1">
      <alignment horizontal="center" vertical="center" wrapText="1"/>
    </xf>
    <xf numFmtId="0" fontId="12" fillId="7" borderId="51" xfId="0" applyFont="1" applyFill="1" applyBorder="1" applyAlignment="1">
      <alignment horizontal="center" vertical="center"/>
    </xf>
    <xf numFmtId="0" fontId="12" fillId="7" borderId="50" xfId="0" applyFont="1" applyFill="1" applyBorder="1" applyAlignment="1">
      <alignment horizontal="center" vertical="center"/>
    </xf>
    <xf numFmtId="0" fontId="12" fillId="7" borderId="52" xfId="0" applyFont="1" applyFill="1" applyBorder="1" applyAlignment="1">
      <alignment horizontal="center" vertical="center"/>
    </xf>
    <xf numFmtId="0" fontId="0" fillId="12" borderId="13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15" fillId="7" borderId="58" xfId="0" applyFont="1" applyFill="1" applyBorder="1" applyAlignment="1">
      <alignment horizontal="center" vertical="center" wrapText="1"/>
    </xf>
    <xf numFmtId="0" fontId="15" fillId="7" borderId="0" xfId="0" applyFont="1" applyFill="1" applyBorder="1" applyAlignment="1">
      <alignment horizontal="center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16" fillId="9" borderId="51" xfId="0" applyFont="1" applyFill="1" applyBorder="1" applyAlignment="1">
      <alignment horizontal="center" vertical="center" wrapText="1"/>
    </xf>
    <xf numFmtId="0" fontId="16" fillId="9" borderId="52" xfId="0" applyFont="1" applyFill="1" applyBorder="1" applyAlignment="1">
      <alignment horizontal="center" vertical="center" wrapText="1"/>
    </xf>
    <xf numFmtId="0" fontId="13" fillId="7" borderId="54" xfId="0" applyFont="1" applyFill="1" applyBorder="1" applyAlignment="1">
      <alignment horizontal="center" vertical="center" textRotation="90" wrapText="1"/>
    </xf>
    <xf numFmtId="0" fontId="13" fillId="7" borderId="58" xfId="0" applyFont="1" applyFill="1" applyBorder="1" applyAlignment="1">
      <alignment horizontal="center" vertical="center" textRotation="90" wrapText="1"/>
    </xf>
    <xf numFmtId="0" fontId="13" fillId="7" borderId="35" xfId="0" applyFont="1" applyFill="1" applyBorder="1" applyAlignment="1">
      <alignment horizontal="center" vertical="center" textRotation="90" wrapText="1"/>
    </xf>
    <xf numFmtId="0" fontId="13" fillId="7" borderId="0" xfId="0" applyFont="1" applyFill="1" applyBorder="1" applyAlignment="1">
      <alignment horizontal="center" vertical="center" textRotation="90" wrapText="1"/>
    </xf>
    <xf numFmtId="0" fontId="13" fillId="7" borderId="36" xfId="0" applyFont="1" applyFill="1" applyBorder="1" applyAlignment="1">
      <alignment horizontal="center" vertical="center" textRotation="90" wrapText="1"/>
    </xf>
    <xf numFmtId="0" fontId="13" fillId="7" borderId="59" xfId="0" applyFont="1" applyFill="1" applyBorder="1" applyAlignment="1">
      <alignment horizontal="center" vertical="center" textRotation="90" wrapText="1"/>
    </xf>
    <xf numFmtId="0" fontId="13" fillId="7" borderId="33" xfId="0" applyFont="1" applyFill="1" applyBorder="1" applyAlignment="1">
      <alignment horizontal="center" vertical="center" textRotation="90" wrapText="1"/>
    </xf>
    <xf numFmtId="0" fontId="13" fillId="7" borderId="60" xfId="0" applyFont="1" applyFill="1" applyBorder="1" applyAlignment="1">
      <alignment horizontal="center" vertical="center" textRotation="90" wrapText="1"/>
    </xf>
    <xf numFmtId="0" fontId="13" fillId="7" borderId="47" xfId="0" applyFont="1" applyFill="1" applyBorder="1" applyAlignment="1">
      <alignment horizontal="center" vertical="center" textRotation="90" wrapText="1"/>
    </xf>
    <xf numFmtId="0" fontId="13" fillId="7" borderId="13" xfId="0" applyFont="1" applyFill="1" applyBorder="1" applyAlignment="1">
      <alignment horizontal="center" vertical="center" textRotation="90" wrapText="1"/>
    </xf>
    <xf numFmtId="0" fontId="13" fillId="7" borderId="5" xfId="0" applyFont="1" applyFill="1" applyBorder="1" applyAlignment="1">
      <alignment horizontal="center" vertical="center" textRotation="90" wrapText="1"/>
    </xf>
    <xf numFmtId="0" fontId="13" fillId="7" borderId="8" xfId="0" applyFont="1" applyFill="1" applyBorder="1" applyAlignment="1">
      <alignment horizontal="center" vertical="center" textRotation="90" wrapText="1"/>
    </xf>
    <xf numFmtId="0" fontId="13" fillId="7" borderId="17" xfId="0" applyFont="1" applyFill="1" applyBorder="1" applyAlignment="1">
      <alignment horizontal="center" vertical="center" textRotation="90" wrapText="1"/>
    </xf>
    <xf numFmtId="0" fontId="13" fillId="7" borderId="54" xfId="0" applyFont="1" applyFill="1" applyBorder="1" applyAlignment="1">
      <alignment horizontal="center" vertical="center"/>
    </xf>
    <xf numFmtId="0" fontId="13" fillId="7" borderId="55" xfId="0" applyFont="1" applyFill="1" applyBorder="1" applyAlignment="1">
      <alignment horizontal="center" vertical="center"/>
    </xf>
    <xf numFmtId="0" fontId="13" fillId="7" borderId="35" xfId="0" applyFont="1" applyFill="1" applyBorder="1" applyAlignment="1">
      <alignment horizontal="center" vertical="center"/>
    </xf>
    <xf numFmtId="0" fontId="13" fillId="7" borderId="17" xfId="0" applyFont="1" applyFill="1" applyBorder="1" applyAlignment="1">
      <alignment horizontal="center" vertical="center"/>
    </xf>
    <xf numFmtId="0" fontId="13" fillId="7" borderId="47" xfId="0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/>
    </xf>
    <xf numFmtId="0" fontId="15" fillId="7" borderId="35" xfId="0" applyFont="1" applyFill="1" applyBorder="1" applyAlignment="1">
      <alignment horizontal="center" vertical="center" textRotation="90" wrapText="1"/>
    </xf>
    <xf numFmtId="0" fontId="15" fillId="7" borderId="17" xfId="0" applyFont="1" applyFill="1" applyBorder="1" applyAlignment="1">
      <alignment horizontal="center" vertical="center" textRotation="90" wrapText="1"/>
    </xf>
    <xf numFmtId="0" fontId="15" fillId="7" borderId="47" xfId="0" applyFont="1" applyFill="1" applyBorder="1" applyAlignment="1">
      <alignment horizontal="center" vertical="center" textRotation="90" wrapText="1"/>
    </xf>
    <xf numFmtId="0" fontId="15" fillId="7" borderId="12" xfId="0" applyFont="1" applyFill="1" applyBorder="1" applyAlignment="1">
      <alignment horizontal="center" vertical="center" textRotation="90" wrapText="1"/>
    </xf>
    <xf numFmtId="0" fontId="13" fillId="7" borderId="55" xfId="0" applyFont="1" applyFill="1" applyBorder="1" applyAlignment="1">
      <alignment horizontal="center" vertical="center" textRotation="90" wrapText="1"/>
    </xf>
    <xf numFmtId="0" fontId="13" fillId="7" borderId="12" xfId="0" applyFont="1" applyFill="1" applyBorder="1" applyAlignment="1">
      <alignment horizontal="center" vertical="center" textRotation="90" wrapText="1"/>
    </xf>
    <xf numFmtId="0" fontId="14" fillId="7" borderId="9" xfId="0" applyFont="1" applyFill="1" applyBorder="1" applyAlignment="1">
      <alignment horizontal="center" vertical="center" wrapText="1"/>
    </xf>
    <xf numFmtId="0" fontId="14" fillId="7" borderId="34" xfId="0" applyFont="1" applyFill="1" applyBorder="1" applyAlignment="1">
      <alignment horizontal="center" vertical="center" wrapText="1"/>
    </xf>
    <xf numFmtId="0" fontId="14" fillId="7" borderId="29" xfId="0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vertical="center" textRotation="1" wrapText="1"/>
    </xf>
    <xf numFmtId="0" fontId="13" fillId="7" borderId="29" xfId="0" applyFont="1" applyFill="1" applyBorder="1" applyAlignment="1">
      <alignment horizontal="center" vertical="center" textRotation="1" wrapText="1"/>
    </xf>
    <xf numFmtId="0" fontId="13" fillId="7" borderId="34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50" xfId="0" applyBorder="1" applyAlignment="1">
      <alignment horizontal="center" wrapText="1"/>
    </xf>
    <xf numFmtId="0" fontId="7" fillId="9" borderId="51" xfId="0" applyFont="1" applyFill="1" applyBorder="1" applyAlignment="1">
      <alignment horizontal="center" wrapText="1"/>
    </xf>
    <xf numFmtId="0" fontId="7" fillId="9" borderId="50" xfId="0" applyFont="1" applyFill="1" applyBorder="1" applyAlignment="1">
      <alignment horizontal="center" wrapText="1"/>
    </xf>
    <xf numFmtId="0" fontId="7" fillId="9" borderId="52" xfId="0" applyFont="1" applyFill="1" applyBorder="1" applyAlignment="1">
      <alignment horizontal="center" wrapText="1"/>
    </xf>
    <xf numFmtId="0" fontId="2" fillId="13" borderId="16" xfId="0" applyFont="1" applyFill="1" applyBorder="1" applyAlignment="1">
      <alignment horizontal="center" vertical="center" wrapText="1"/>
    </xf>
    <xf numFmtId="0" fontId="2" fillId="13" borderId="46" xfId="0" applyFont="1" applyFill="1" applyBorder="1" applyAlignment="1">
      <alignment horizontal="center" vertical="center" wrapText="1"/>
    </xf>
    <xf numFmtId="0" fontId="3" fillId="11" borderId="51" xfId="0" applyFont="1" applyFill="1" applyBorder="1" applyAlignment="1">
      <alignment horizontal="center"/>
    </xf>
    <xf numFmtId="0" fontId="3" fillId="11" borderId="50" xfId="0" applyFont="1" applyFill="1" applyBorder="1" applyAlignment="1">
      <alignment horizontal="center"/>
    </xf>
    <xf numFmtId="0" fontId="3" fillId="11" borderId="52" xfId="0" applyFont="1" applyFill="1" applyBorder="1" applyAlignment="1">
      <alignment horizontal="center"/>
    </xf>
    <xf numFmtId="0" fontId="0" fillId="13" borderId="1" xfId="0" applyFill="1" applyBorder="1" applyAlignment="1">
      <alignment horizontal="left" wrapText="1"/>
    </xf>
    <xf numFmtId="0" fontId="0" fillId="8" borderId="1" xfId="0" applyFill="1" applyBorder="1" applyAlignment="1">
      <alignment horizontal="left"/>
    </xf>
    <xf numFmtId="0" fontId="0" fillId="8" borderId="6" xfId="0" applyFill="1" applyBorder="1" applyAlignment="1">
      <alignment horizontal="left"/>
    </xf>
    <xf numFmtId="0" fontId="0" fillId="8" borderId="5" xfId="0" applyFill="1" applyBorder="1" applyAlignment="1">
      <alignment horizontal="left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10" fillId="7" borderId="9" xfId="0" applyFont="1" applyFill="1" applyBorder="1" applyAlignment="1">
      <alignment horizontal="center" vertical="center" wrapText="1"/>
    </xf>
    <xf numFmtId="0" fontId="10" fillId="7" borderId="28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wrapText="1"/>
    </xf>
    <xf numFmtId="0" fontId="13" fillId="7" borderId="36" xfId="0" applyFont="1" applyFill="1" applyBorder="1" applyAlignment="1">
      <alignment horizontal="center" vertical="center" wrapText="1"/>
    </xf>
    <xf numFmtId="0" fontId="13" fillId="7" borderId="59" xfId="0" applyFont="1" applyFill="1" applyBorder="1" applyAlignment="1">
      <alignment horizontal="center" vertical="center" wrapText="1"/>
    </xf>
    <xf numFmtId="0" fontId="13" fillId="7" borderId="41" xfId="0" applyFont="1" applyFill="1" applyBorder="1" applyAlignment="1">
      <alignment horizontal="center" vertical="center" wrapText="1"/>
    </xf>
    <xf numFmtId="0" fontId="13" fillId="7" borderId="74" xfId="0" applyFont="1" applyFill="1" applyBorder="1" applyAlignment="1">
      <alignment horizontal="center" vertical="center" wrapText="1"/>
    </xf>
    <xf numFmtId="0" fontId="13" fillId="7" borderId="17" xfId="0" applyFont="1" applyFill="1" applyBorder="1" applyAlignment="1">
      <alignment horizontal="center" vertical="center" wrapText="1"/>
    </xf>
    <xf numFmtId="167" fontId="13" fillId="7" borderId="54" xfId="0" applyNumberFormat="1" applyFont="1" applyFill="1" applyBorder="1" applyAlignment="1">
      <alignment horizontal="center" vertical="center" wrapText="1"/>
    </xf>
    <xf numFmtId="0" fontId="12" fillId="7" borderId="51" xfId="0" applyFont="1" applyFill="1" applyBorder="1" applyAlignment="1">
      <alignment horizontal="center" vertical="center" wrapText="1"/>
    </xf>
    <xf numFmtId="0" fontId="12" fillId="7" borderId="50" xfId="0" applyFont="1" applyFill="1" applyBorder="1" applyAlignment="1">
      <alignment horizontal="center" vertical="center" wrapText="1"/>
    </xf>
    <xf numFmtId="0" fontId="12" fillId="7" borderId="52" xfId="0" applyFont="1" applyFill="1" applyBorder="1" applyAlignment="1">
      <alignment horizontal="center" vertical="center" wrapText="1"/>
    </xf>
    <xf numFmtId="0" fontId="31" fillId="7" borderId="51" xfId="0" applyFont="1" applyFill="1" applyBorder="1" applyAlignment="1">
      <alignment horizontal="center" vertical="center"/>
    </xf>
    <xf numFmtId="0" fontId="31" fillId="7" borderId="50" xfId="0" applyFont="1" applyFill="1" applyBorder="1" applyAlignment="1">
      <alignment horizontal="center" vertical="center"/>
    </xf>
    <xf numFmtId="0" fontId="31" fillId="7" borderId="52" xfId="0" applyFont="1" applyFill="1" applyBorder="1" applyAlignment="1">
      <alignment horizontal="center" vertical="center"/>
    </xf>
    <xf numFmtId="0" fontId="15" fillId="7" borderId="54" xfId="0" applyFont="1" applyFill="1" applyBorder="1" applyAlignment="1">
      <alignment horizontal="center" vertical="center" textRotation="90" wrapText="1"/>
    </xf>
    <xf numFmtId="0" fontId="15" fillId="7" borderId="55" xfId="0" applyFont="1" applyFill="1" applyBorder="1" applyAlignment="1">
      <alignment horizontal="center" vertical="center" textRotation="90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2" xfId="0" applyFont="1" applyFill="1" applyBorder="1" applyAlignment="1">
      <alignment horizontal="center" vertical="center" wrapText="1"/>
    </xf>
    <xf numFmtId="175" fontId="13" fillId="7" borderId="51" xfId="1" applyNumberFormat="1" applyFont="1" applyFill="1" applyBorder="1" applyAlignment="1">
      <alignment horizontal="center" vertical="center" wrapText="1"/>
    </xf>
    <xf numFmtId="175" fontId="13" fillId="7" borderId="52" xfId="1" applyNumberFormat="1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left" vertical="center" wrapText="1"/>
    </xf>
    <xf numFmtId="0" fontId="12" fillId="7" borderId="54" xfId="0" applyFont="1" applyFill="1" applyBorder="1" applyAlignment="1">
      <alignment horizontal="center" vertical="center"/>
    </xf>
    <xf numFmtId="0" fontId="12" fillId="7" borderId="58" xfId="0" applyFont="1" applyFill="1" applyBorder="1" applyAlignment="1">
      <alignment horizontal="center" vertical="center"/>
    </xf>
    <xf numFmtId="0" fontId="12" fillId="7" borderId="55" xfId="0" applyFont="1" applyFill="1" applyBorder="1" applyAlignment="1">
      <alignment horizontal="center" vertical="center"/>
    </xf>
    <xf numFmtId="175" fontId="0" fillId="0" borderId="6" xfId="0" applyNumberFormat="1" applyBorder="1" applyAlignment="1">
      <alignment horizontal="center" vertical="center"/>
    </xf>
    <xf numFmtId="175" fontId="0" fillId="0" borderId="1" xfId="0" applyNumberFormat="1" applyBorder="1" applyAlignment="1">
      <alignment horizontal="center" vertical="center"/>
    </xf>
    <xf numFmtId="0" fontId="34" fillId="7" borderId="82" xfId="0" applyFont="1" applyFill="1" applyBorder="1" applyAlignment="1">
      <alignment horizontal="center" vertical="center" wrapText="1"/>
    </xf>
    <xf numFmtId="0" fontId="34" fillId="7" borderId="83" xfId="0" applyFont="1" applyFill="1" applyBorder="1" applyAlignment="1">
      <alignment horizontal="center" vertical="center" wrapText="1"/>
    </xf>
    <xf numFmtId="0" fontId="33" fillId="7" borderId="79" xfId="0" applyFont="1" applyFill="1" applyBorder="1" applyAlignment="1">
      <alignment horizontal="center" vertical="center" wrapText="1"/>
    </xf>
    <xf numFmtId="0" fontId="33" fillId="7" borderId="34" xfId="0" applyFont="1" applyFill="1" applyBorder="1" applyAlignment="1">
      <alignment horizontal="center" vertical="center" wrapText="1"/>
    </xf>
    <xf numFmtId="0" fontId="33" fillId="7" borderId="29" xfId="0" applyFont="1" applyFill="1" applyBorder="1" applyAlignment="1">
      <alignment horizontal="center" vertical="center" wrapText="1"/>
    </xf>
    <xf numFmtId="0" fontId="32" fillId="7" borderId="54" xfId="0" applyFont="1" applyFill="1" applyBorder="1" applyAlignment="1">
      <alignment horizontal="center" vertical="center" wrapText="1"/>
    </xf>
    <xf numFmtId="0" fontId="32" fillId="7" borderId="55" xfId="0" applyFont="1" applyFill="1" applyBorder="1" applyAlignment="1">
      <alignment horizontal="center" vertical="center" wrapText="1"/>
    </xf>
    <xf numFmtId="0" fontId="32" fillId="7" borderId="35" xfId="0" applyFont="1" applyFill="1" applyBorder="1" applyAlignment="1">
      <alignment horizontal="center" vertical="center" wrapText="1"/>
    </xf>
    <xf numFmtId="0" fontId="32" fillId="7" borderId="17" xfId="0" applyFont="1" applyFill="1" applyBorder="1" applyAlignment="1">
      <alignment horizontal="center" vertical="center" wrapText="1"/>
    </xf>
    <xf numFmtId="0" fontId="33" fillId="7" borderId="84" xfId="0" applyFont="1" applyFill="1" applyBorder="1" applyAlignment="1">
      <alignment horizontal="center" vertical="center" wrapText="1"/>
    </xf>
    <xf numFmtId="0" fontId="33" fillId="7" borderId="85" xfId="0" applyFont="1" applyFill="1" applyBorder="1" applyAlignment="1">
      <alignment horizontal="center" vertical="center" wrapText="1"/>
    </xf>
    <xf numFmtId="0" fontId="33" fillId="7" borderId="86" xfId="0" applyFont="1" applyFill="1" applyBorder="1" applyAlignment="1">
      <alignment horizontal="center" vertical="center" wrapText="1"/>
    </xf>
    <xf numFmtId="0" fontId="33" fillId="7" borderId="87" xfId="0" applyFont="1" applyFill="1" applyBorder="1" applyAlignment="1">
      <alignment horizontal="center" vertical="center" wrapText="1"/>
    </xf>
    <xf numFmtId="0" fontId="34" fillId="7" borderId="79" xfId="0" applyFont="1" applyFill="1" applyBorder="1" applyAlignment="1">
      <alignment horizontal="center" vertical="center" textRotation="90" wrapText="1"/>
    </xf>
    <xf numFmtId="0" fontId="34" fillId="7" borderId="34" xfId="0" applyFont="1" applyFill="1" applyBorder="1" applyAlignment="1">
      <alignment horizontal="center" vertical="center" textRotation="90" wrapText="1"/>
    </xf>
    <xf numFmtId="0" fontId="34" fillId="7" borderId="80" xfId="0" applyFont="1" applyFill="1" applyBorder="1" applyAlignment="1">
      <alignment horizontal="center" vertical="center" textRotation="90" wrapText="1"/>
    </xf>
    <xf numFmtId="10" fontId="35" fillId="0" borderId="79" xfId="0" applyNumberFormat="1" applyFont="1" applyBorder="1" applyAlignment="1">
      <alignment horizontal="center" vertical="center" wrapText="1"/>
    </xf>
    <xf numFmtId="10" fontId="35" fillId="0" borderId="34" xfId="0" applyNumberFormat="1" applyFont="1" applyBorder="1" applyAlignment="1">
      <alignment horizontal="center" vertical="center" wrapText="1"/>
    </xf>
    <xf numFmtId="10" fontId="35" fillId="0" borderId="80" xfId="0" applyNumberFormat="1" applyFont="1" applyBorder="1" applyAlignment="1">
      <alignment horizontal="center" vertical="center" wrapText="1"/>
    </xf>
    <xf numFmtId="10" fontId="36" fillId="0" borderId="9" xfId="0" applyNumberFormat="1" applyFont="1" applyBorder="1" applyAlignment="1">
      <alignment horizontal="center" vertical="center" wrapText="1"/>
    </xf>
    <xf numFmtId="10" fontId="36" fillId="0" borderId="34" xfId="0" applyNumberFormat="1" applyFont="1" applyBorder="1" applyAlignment="1">
      <alignment horizontal="center" vertical="center" wrapText="1"/>
    </xf>
    <xf numFmtId="10" fontId="36" fillId="0" borderId="29" xfId="0" applyNumberFormat="1" applyFont="1" applyBorder="1" applyAlignment="1">
      <alignment horizontal="center" vertical="center" wrapText="1"/>
    </xf>
    <xf numFmtId="0" fontId="37" fillId="7" borderId="79" xfId="0" applyFont="1" applyFill="1" applyBorder="1" applyAlignment="1">
      <alignment horizontal="center" vertical="center" textRotation="90" wrapText="1"/>
    </xf>
    <xf numFmtId="0" fontId="37" fillId="7" borderId="34" xfId="0" applyFont="1" applyFill="1" applyBorder="1" applyAlignment="1">
      <alignment horizontal="center" vertical="center" textRotation="90" wrapText="1"/>
    </xf>
    <xf numFmtId="0" fontId="37" fillId="7" borderId="80" xfId="0" applyFont="1" applyFill="1" applyBorder="1" applyAlignment="1">
      <alignment horizontal="center" vertical="center" textRotation="90" wrapText="1"/>
    </xf>
    <xf numFmtId="0" fontId="33" fillId="7" borderId="51" xfId="0" applyFont="1" applyFill="1" applyBorder="1" applyAlignment="1">
      <alignment horizontal="center" vertical="center" wrapText="1"/>
    </xf>
    <xf numFmtId="0" fontId="33" fillId="7" borderId="52" xfId="0" applyFont="1" applyFill="1" applyBorder="1" applyAlignment="1">
      <alignment horizontal="center" vertical="center" wrapText="1"/>
    </xf>
    <xf numFmtId="0" fontId="34" fillId="7" borderId="9" xfId="0" applyFont="1" applyFill="1" applyBorder="1" applyAlignment="1">
      <alignment horizontal="center" vertical="center" textRotation="90" wrapText="1"/>
    </xf>
    <xf numFmtId="0" fontId="34" fillId="7" borderId="29" xfId="0" applyFont="1" applyFill="1" applyBorder="1" applyAlignment="1">
      <alignment horizontal="center" vertical="center" textRotation="90" wrapText="1"/>
    </xf>
    <xf numFmtId="10" fontId="35" fillId="0" borderId="9" xfId="0" applyNumberFormat="1" applyFont="1" applyBorder="1" applyAlignment="1">
      <alignment horizontal="center" vertical="center" wrapText="1"/>
    </xf>
    <xf numFmtId="10" fontId="35" fillId="0" borderId="29" xfId="0" applyNumberFormat="1" applyFont="1" applyBorder="1" applyAlignment="1">
      <alignment horizontal="center" vertical="center" wrapText="1"/>
    </xf>
    <xf numFmtId="0" fontId="39" fillId="8" borderId="47" xfId="0" applyFont="1" applyFill="1" applyBorder="1" applyAlignment="1">
      <alignment horizontal="center" wrapText="1"/>
    </xf>
    <xf numFmtId="0" fontId="39" fillId="8" borderId="13" xfId="0" applyFont="1" applyFill="1" applyBorder="1" applyAlignment="1">
      <alignment horizontal="center" wrapText="1"/>
    </xf>
    <xf numFmtId="0" fontId="39" fillId="8" borderId="12" xfId="0" applyFont="1" applyFill="1" applyBorder="1" applyAlignment="1">
      <alignment horizontal="center" wrapText="1"/>
    </xf>
    <xf numFmtId="0" fontId="33" fillId="7" borderId="13" xfId="0" applyFont="1" applyFill="1" applyBorder="1" applyAlignment="1">
      <alignment horizontal="center" vertical="center" wrapText="1"/>
    </xf>
    <xf numFmtId="0" fontId="37" fillId="7" borderId="9" xfId="0" applyFont="1" applyFill="1" applyBorder="1" applyAlignment="1">
      <alignment horizontal="center" vertical="center" textRotation="90" wrapText="1"/>
    </xf>
    <xf numFmtId="0" fontId="37" fillId="7" borderId="29" xfId="0" applyFont="1" applyFill="1" applyBorder="1" applyAlignment="1">
      <alignment horizontal="center" vertical="center" textRotation="90" wrapText="1"/>
    </xf>
    <xf numFmtId="10" fontId="36" fillId="0" borderId="54" xfId="0" applyNumberFormat="1" applyFont="1" applyBorder="1" applyAlignment="1">
      <alignment horizontal="center" vertical="center" wrapText="1"/>
    </xf>
    <xf numFmtId="10" fontId="36" fillId="0" borderId="35" xfId="0" applyNumberFormat="1" applyFont="1" applyBorder="1" applyAlignment="1">
      <alignment horizontal="center" vertical="center" wrapText="1"/>
    </xf>
    <xf numFmtId="10" fontId="36" fillId="0" borderId="47" xfId="0" applyNumberFormat="1" applyFont="1" applyBorder="1" applyAlignment="1">
      <alignment horizontal="center" vertical="center" wrapText="1"/>
    </xf>
  </cellXfs>
  <cellStyles count="6">
    <cellStyle name="Millares" xfId="4" builtinId="3"/>
    <cellStyle name="Moneda" xfId="1" builtinId="4"/>
    <cellStyle name="Moneda [0] 2" xfId="2"/>
    <cellStyle name="Normal" xfId="0" builtinId="0"/>
    <cellStyle name="Normal 2" xfId="3"/>
    <cellStyle name="Porcentaje" xfId="5" builtinId="5"/>
  </cellStyles>
  <dxfs count="0"/>
  <tableStyles count="0" defaultTableStyle="TableStyleMedium2" defaultPivotStyle="PivotStyleMedium9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L"/>
              <a:t>Mantenimiento de la MOP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'ESTIMACIÓN VALOR DE COSTOS'!$N$63</c:f>
              <c:strCache>
                <c:ptCount val="1"/>
                <c:pt idx="0">
                  <c:v>Valores en USD</c:v>
                </c:pt>
              </c:strCache>
            </c:strRef>
          </c:tx>
          <c:cat>
            <c:numRef>
              <c:f>'ESTIMACIÓN VALOR DE COSTOS'!$M$64:$M$89</c:f>
              <c:numCache>
                <c:formatCode>General</c:formatCode>
                <c:ptCount val="2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</c:numCache>
            </c:numRef>
          </c:cat>
          <c:val>
            <c:numRef>
              <c:f>'ESTIMACIÓN VALOR DE COSTOS'!$N$64:$N$89</c:f>
              <c:numCache>
                <c:formatCode>[$USD]\ #,##0</c:formatCode>
                <c:ptCount val="26"/>
                <c:pt idx="0">
                  <c:v>0</c:v>
                </c:pt>
                <c:pt idx="1">
                  <c:v>83186.603999999992</c:v>
                </c:pt>
                <c:pt idx="2">
                  <c:v>98014.436549999999</c:v>
                </c:pt>
                <c:pt idx="3">
                  <c:v>181599.31354999996</c:v>
                </c:pt>
                <c:pt idx="4">
                  <c:v>118623.80840000001</c:v>
                </c:pt>
                <c:pt idx="5">
                  <c:v>179622.301679</c:v>
                </c:pt>
                <c:pt idx="6">
                  <c:v>184460.65137447004</c:v>
                </c:pt>
                <c:pt idx="7">
                  <c:v>192338.93143580412</c:v>
                </c:pt>
                <c:pt idx="8">
                  <c:v>184982.03500247825</c:v>
                </c:pt>
                <c:pt idx="9">
                  <c:v>190078.12250765256</c:v>
                </c:pt>
                <c:pt idx="10">
                  <c:v>195785.23145798215</c:v>
                </c:pt>
                <c:pt idx="11">
                  <c:v>183032.68821042165</c:v>
                </c:pt>
                <c:pt idx="12">
                  <c:v>183979.0186768343</c:v>
                </c:pt>
                <c:pt idx="13">
                  <c:v>161924.41300723929</c:v>
                </c:pt>
                <c:pt idx="14">
                  <c:v>197162.49100255646</c:v>
                </c:pt>
                <c:pt idx="15">
                  <c:v>200991.89565773317</c:v>
                </c:pt>
                <c:pt idx="16">
                  <c:v>190572.6623361652</c:v>
                </c:pt>
                <c:pt idx="17">
                  <c:v>192793.87117635016</c:v>
                </c:pt>
                <c:pt idx="18">
                  <c:v>169603.08493174062</c:v>
                </c:pt>
                <c:pt idx="19">
                  <c:v>148731.54254479287</c:v>
                </c:pt>
                <c:pt idx="20">
                  <c:v>57592.245415000012</c:v>
                </c:pt>
                <c:pt idx="21">
                  <c:v>22462.995999999999</c:v>
                </c:pt>
                <c:pt idx="22">
                  <c:v>27709.196</c:v>
                </c:pt>
                <c:pt idx="23">
                  <c:v>18230.595999999998</c:v>
                </c:pt>
                <c:pt idx="24">
                  <c:v>28185.196</c:v>
                </c:pt>
                <c:pt idx="25">
                  <c:v>1405.5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536320"/>
        <c:axId val="122537856"/>
      </c:lineChart>
      <c:catAx>
        <c:axId val="122536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2537856"/>
        <c:crosses val="autoZero"/>
        <c:auto val="1"/>
        <c:lblAlgn val="ctr"/>
        <c:lblOffset val="100"/>
        <c:noMultiLvlLbl val="0"/>
      </c:catAx>
      <c:valAx>
        <c:axId val="122537856"/>
        <c:scaling>
          <c:orientation val="minMax"/>
        </c:scaling>
        <c:delete val="0"/>
        <c:axPos val="l"/>
        <c:majorGridlines/>
        <c:numFmt formatCode="[$USD]\ #,##0" sourceLinked="1"/>
        <c:majorTickMark val="out"/>
        <c:minorTickMark val="none"/>
        <c:tickLblPos val="nextTo"/>
        <c:crossAx val="1225363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'(1) CCV C41'!$C$7:$K$7</c:f>
              <c:numCache>
                <c:formatCode>_ [$USD]\ * #,##0_ ;_ [$USD]\ * \-#,##0_ ;_ [$USD]\ * "-"_ ;_ @_ </c:formatCode>
                <c:ptCount val="9"/>
                <c:pt idx="0">
                  <c:v>32900</c:v>
                </c:pt>
                <c:pt idx="1">
                  <c:v>33887</c:v>
                </c:pt>
                <c:pt idx="2">
                  <c:v>34903.61</c:v>
                </c:pt>
                <c:pt idx="3">
                  <c:v>35950.7183</c:v>
                </c:pt>
                <c:pt idx="4">
                  <c:v>37029.239849000005</c:v>
                </c:pt>
                <c:pt idx="5">
                  <c:v>38140.117044470004</c:v>
                </c:pt>
                <c:pt idx="6">
                  <c:v>39284.320555804108</c:v>
                </c:pt>
                <c:pt idx="7">
                  <c:v>40462.850172478233</c:v>
                </c:pt>
                <c:pt idx="8">
                  <c:v>41676.735677652578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F21-43A7-97CA-14A5291CC9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410880"/>
        <c:axId val="124441344"/>
      </c:lineChart>
      <c:catAx>
        <c:axId val="1244108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24441344"/>
        <c:crosses val="autoZero"/>
        <c:auto val="1"/>
        <c:lblAlgn val="ctr"/>
        <c:lblOffset val="100"/>
        <c:noMultiLvlLbl val="0"/>
      </c:catAx>
      <c:valAx>
        <c:axId val="12444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 [$USD]\ * #,##0_ ;_ [$USD]\ * \-#,##0_ ;_ [$USD]\ * &quot;-&quot;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24410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'(1) CCV C41'!$C$10:$K$10</c:f>
              <c:numCache>
                <c:formatCode>_ [$USD]\ * #,##0_ ;_ [$USD]\ * \-#,##0_ ;_ [$USD]\ * "-"_ ;_ @_ </c:formatCode>
                <c:ptCount val="9"/>
                <c:pt idx="0">
                  <c:v>40000</c:v>
                </c:pt>
                <c:pt idx="1">
                  <c:v>46000</c:v>
                </c:pt>
                <c:pt idx="2">
                  <c:v>50000</c:v>
                </c:pt>
                <c:pt idx="3">
                  <c:v>120000</c:v>
                </c:pt>
                <c:pt idx="4">
                  <c:v>50000</c:v>
                </c:pt>
                <c:pt idx="5">
                  <c:v>56000</c:v>
                </c:pt>
                <c:pt idx="6">
                  <c:v>58000</c:v>
                </c:pt>
                <c:pt idx="7">
                  <c:v>60000</c:v>
                </c:pt>
                <c:pt idx="8">
                  <c:v>80000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D9D-4AA1-91C8-154224BC20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146816"/>
        <c:axId val="124148352"/>
      </c:lineChart>
      <c:catAx>
        <c:axId val="1241468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24148352"/>
        <c:crosses val="autoZero"/>
        <c:auto val="1"/>
        <c:lblAlgn val="ctr"/>
        <c:lblOffset val="100"/>
        <c:noMultiLvlLbl val="0"/>
      </c:catAx>
      <c:valAx>
        <c:axId val="124148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 [$USD]\ * #,##0_ ;_ [$USD]\ * \-#,##0_ ;_ [$USD]\ * &quot;-&quot;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24146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333374</xdr:colOff>
      <xdr:row>70</xdr:row>
      <xdr:rowOff>123825</xdr:rowOff>
    </xdr:from>
    <xdr:to>
      <xdr:col>11</xdr:col>
      <xdr:colOff>66674</xdr:colOff>
      <xdr:row>87</xdr:row>
      <xdr:rowOff>28575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</xdr:row>
      <xdr:rowOff>85725</xdr:rowOff>
    </xdr:from>
    <xdr:to>
      <xdr:col>4</xdr:col>
      <xdr:colOff>352425</xdr:colOff>
      <xdr:row>41</xdr:row>
      <xdr:rowOff>161925</xdr:rowOff>
    </xdr:to>
    <xdr:graphicFrame macro="">
      <xdr:nvGraphicFramePr>
        <xdr:cNvPr id="2" name="Gráfico 1">
          <a:extLst>
            <a:ext uri="{FF2B5EF4-FFF2-40B4-BE49-F238E27FC236}">
              <a16:creationId xmlns="" xmlns:a16="http://schemas.microsoft.com/office/drawing/2014/main" id="{6DCC0ED9-2A71-4ACF-8D09-4169C408EA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628650</xdr:colOff>
      <xdr:row>28</xdr:row>
      <xdr:rowOff>19050</xdr:rowOff>
    </xdr:from>
    <xdr:to>
      <xdr:col>10</xdr:col>
      <xdr:colOff>123825</xdr:colOff>
      <xdr:row>42</xdr:row>
      <xdr:rowOff>95250</xdr:rowOff>
    </xdr:to>
    <xdr:graphicFrame macro="">
      <xdr:nvGraphicFramePr>
        <xdr:cNvPr id="3" name="Gráfico 2">
          <a:extLst>
            <a:ext uri="{FF2B5EF4-FFF2-40B4-BE49-F238E27FC236}">
              <a16:creationId xmlns="" xmlns:a16="http://schemas.microsoft.com/office/drawing/2014/main" id="{1CE27E5E-FD04-4B43-A258-13C201155F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FEB6DE8\Chile%20Ballesta%20WBS%20April%202014%20Rev%20R1%20-%20v3.0%20Match%20w.Pricing%20HQ%20Onl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e List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2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workbookViewId="0">
      <selection activeCell="H67" sqref="H67:H68"/>
    </sheetView>
  </sheetViews>
  <sheetFormatPr baseColWidth="10" defaultRowHeight="15" x14ac:dyDescent="0.25"/>
  <cols>
    <col min="1" max="1" width="2.5703125" customWidth="1"/>
    <col min="2" max="2" width="3.7109375" customWidth="1"/>
    <col min="6" max="6" width="20.7109375" customWidth="1"/>
    <col min="7" max="7" width="1.5703125" customWidth="1"/>
    <col min="8" max="8" width="15.7109375" style="27" bestFit="1" customWidth="1"/>
    <col min="9" max="9" width="15.7109375" style="27" customWidth="1"/>
    <col min="10" max="10" width="17" style="27" hidden="1" customWidth="1"/>
    <col min="11" max="11" width="16.7109375" customWidth="1"/>
    <col min="12" max="12" width="16.7109375" bestFit="1" customWidth="1"/>
    <col min="13" max="13" width="20.5703125" customWidth="1"/>
    <col min="14" max="14" width="23.7109375" customWidth="1"/>
  </cols>
  <sheetData>
    <row r="1" spans="1:15" ht="15.75" thickBot="1" x14ac:dyDescent="0.3">
      <c r="A1" s="194"/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273" t="s">
        <v>746</v>
      </c>
      <c r="M1" s="194"/>
      <c r="N1" s="194"/>
      <c r="O1" s="194"/>
    </row>
    <row r="2" spans="1:15" ht="18.75" customHeight="1" thickBot="1" x14ac:dyDescent="0.3">
      <c r="A2" s="472" t="s">
        <v>687</v>
      </c>
      <c r="B2" s="473"/>
      <c r="C2" s="473"/>
      <c r="D2" s="473"/>
      <c r="E2" s="473"/>
      <c r="F2" s="473"/>
      <c r="G2" s="473"/>
      <c r="H2" s="473"/>
      <c r="I2" s="474"/>
      <c r="J2" s="284">
        <f>J4+J14+J20+J23+J27+J30+J33+J36+J39+J42+J45+J48</f>
        <v>11860335.853076922</v>
      </c>
      <c r="K2" s="284">
        <f>L2</f>
        <v>11850000</v>
      </c>
      <c r="L2" s="273">
        <f>11850000</f>
        <v>11850000</v>
      </c>
      <c r="M2" s="194"/>
      <c r="N2" s="194"/>
      <c r="O2" s="194"/>
    </row>
    <row r="3" spans="1:15" ht="30.75" thickBot="1" x14ac:dyDescent="0.3">
      <c r="A3" s="475"/>
      <c r="B3" s="476"/>
      <c r="C3" s="476"/>
      <c r="D3" s="476"/>
      <c r="E3" s="476"/>
      <c r="F3" s="476"/>
      <c r="G3" s="476"/>
      <c r="H3" s="476"/>
      <c r="I3" s="477"/>
      <c r="J3" s="285" t="s">
        <v>674</v>
      </c>
      <c r="K3" s="286" t="s">
        <v>750</v>
      </c>
      <c r="L3" s="194"/>
      <c r="M3" s="194"/>
      <c r="N3" s="194"/>
      <c r="O3" s="194"/>
    </row>
    <row r="4" spans="1:15" ht="15" customHeight="1" thickBot="1" x14ac:dyDescent="0.3">
      <c r="A4" s="505" t="s">
        <v>757</v>
      </c>
      <c r="B4" s="505"/>
      <c r="C4" s="505"/>
      <c r="D4" s="505"/>
      <c r="E4" s="505"/>
      <c r="F4" s="505"/>
      <c r="G4" s="505"/>
      <c r="H4" s="505"/>
      <c r="I4" s="505"/>
      <c r="J4" s="289">
        <f>I5+I8+I13</f>
        <v>3554161</v>
      </c>
      <c r="K4" s="290">
        <v>3550000</v>
      </c>
      <c r="L4" s="278">
        <f>K4+K14+K20+K23+K27+K30+K33+K36+K39+K42+K45+K48</f>
        <v>11850000</v>
      </c>
      <c r="M4" s="484" t="s">
        <v>675</v>
      </c>
      <c r="N4" s="485"/>
      <c r="O4" s="194"/>
    </row>
    <row r="5" spans="1:15" ht="15" hidden="1" customHeight="1" thickBot="1" x14ac:dyDescent="0.35">
      <c r="A5" s="291"/>
      <c r="B5" s="482" t="s">
        <v>673</v>
      </c>
      <c r="C5" s="482"/>
      <c r="D5" s="482"/>
      <c r="E5" s="482"/>
      <c r="F5" s="482"/>
      <c r="G5" s="482"/>
      <c r="H5" s="482"/>
      <c r="I5" s="193">
        <f>SUM(H6:H7)</f>
        <v>1164948</v>
      </c>
      <c r="J5" s="291"/>
      <c r="K5" s="292">
        <f>1-(K4/J4)</f>
        <v>1.1707404363505702E-3</v>
      </c>
      <c r="L5" s="194"/>
      <c r="M5" s="506" t="s">
        <v>679</v>
      </c>
      <c r="N5" s="507"/>
      <c r="O5" s="194"/>
    </row>
    <row r="6" spans="1:15" hidden="1" thickBot="1" x14ac:dyDescent="0.35">
      <c r="A6" s="291"/>
      <c r="B6" s="291"/>
      <c r="C6" s="482" t="s">
        <v>233</v>
      </c>
      <c r="D6" s="482"/>
      <c r="E6" s="482"/>
      <c r="F6" s="482"/>
      <c r="G6" s="482"/>
      <c r="H6" s="193">
        <f>SUM('TABLA GENERAL FASE 1 Y 2'!S5:S15)</f>
        <v>417551</v>
      </c>
      <c r="I6" s="291"/>
      <c r="J6" s="291"/>
      <c r="K6" s="293">
        <f>J4-K4</f>
        <v>4161</v>
      </c>
      <c r="L6" s="194"/>
      <c r="M6" s="261" t="s">
        <v>676</v>
      </c>
      <c r="N6" s="261" t="s">
        <v>677</v>
      </c>
      <c r="O6" s="194"/>
    </row>
    <row r="7" spans="1:15" ht="15" hidden="1" customHeight="1" x14ac:dyDescent="0.3">
      <c r="A7" s="291"/>
      <c r="B7" s="291"/>
      <c r="C7" s="483" t="s">
        <v>256</v>
      </c>
      <c r="D7" s="483"/>
      <c r="E7" s="483"/>
      <c r="F7" s="483"/>
      <c r="G7" s="483"/>
      <c r="H7" s="192">
        <f>SUM('TABLA GENERAL FASE 1 Y 2'!S16:S22)</f>
        <v>747397</v>
      </c>
      <c r="I7" s="291"/>
      <c r="J7" s="291"/>
      <c r="K7" s="294"/>
      <c r="L7" s="194"/>
      <c r="M7" s="508" t="s">
        <v>680</v>
      </c>
      <c r="N7" s="509"/>
      <c r="O7" s="194"/>
    </row>
    <row r="8" spans="1:15" ht="15.75" hidden="1" customHeight="1" thickBot="1" x14ac:dyDescent="0.35">
      <c r="A8" s="291"/>
      <c r="B8" s="483" t="s">
        <v>682</v>
      </c>
      <c r="C8" s="483"/>
      <c r="D8" s="483"/>
      <c r="E8" s="483"/>
      <c r="F8" s="483"/>
      <c r="G8" s="483"/>
      <c r="H8" s="483"/>
      <c r="I8" s="192">
        <f>SUM(H9:H12)</f>
        <v>1538314</v>
      </c>
      <c r="J8" s="291"/>
      <c r="K8" s="294"/>
      <c r="L8" s="194"/>
      <c r="M8" s="510"/>
      <c r="N8" s="511"/>
      <c r="O8" s="194"/>
    </row>
    <row r="9" spans="1:15" hidden="1" thickBot="1" x14ac:dyDescent="0.35">
      <c r="A9" s="295"/>
      <c r="B9" s="291"/>
      <c r="C9" s="482" t="s">
        <v>271</v>
      </c>
      <c r="D9" s="482"/>
      <c r="E9" s="482"/>
      <c r="F9" s="482"/>
      <c r="G9" s="482"/>
      <c r="H9" s="193">
        <f>SUM('TABLA GENERAL FASE 1 Y 2'!S23:S26)</f>
        <v>877797</v>
      </c>
      <c r="I9" s="291"/>
      <c r="J9" s="291"/>
      <c r="K9" s="294"/>
      <c r="L9" s="194"/>
      <c r="M9" s="262">
        <v>2021</v>
      </c>
      <c r="N9" s="263">
        <v>2550000</v>
      </c>
      <c r="O9" s="194"/>
    </row>
    <row r="10" spans="1:15" hidden="1" thickBot="1" x14ac:dyDescent="0.35">
      <c r="A10" s="295"/>
      <c r="B10" s="291"/>
      <c r="C10" s="483" t="s">
        <v>280</v>
      </c>
      <c r="D10" s="483"/>
      <c r="E10" s="483"/>
      <c r="F10" s="483"/>
      <c r="G10" s="483"/>
      <c r="H10" s="192">
        <f>SUM('TABLA GENERAL FASE 1 Y 2'!S27:S28)</f>
        <v>63233</v>
      </c>
      <c r="I10" s="291"/>
      <c r="J10" s="291"/>
      <c r="K10" s="294"/>
      <c r="L10" s="194"/>
      <c r="M10" s="264">
        <v>2022</v>
      </c>
      <c r="N10" s="265">
        <v>2500000</v>
      </c>
      <c r="O10" s="194"/>
    </row>
    <row r="11" spans="1:15" hidden="1" thickBot="1" x14ac:dyDescent="0.35">
      <c r="A11" s="295"/>
      <c r="B11" s="291"/>
      <c r="C11" s="483" t="s">
        <v>285</v>
      </c>
      <c r="D11" s="483"/>
      <c r="E11" s="483"/>
      <c r="F11" s="483"/>
      <c r="G11" s="483"/>
      <c r="H11" s="192">
        <f>SUM('TABLA GENERAL FASE 1 Y 2'!S29:S30)</f>
        <v>409798</v>
      </c>
      <c r="I11" s="291"/>
      <c r="J11" s="291"/>
      <c r="K11" s="294"/>
      <c r="L11" s="194"/>
      <c r="M11" s="264">
        <v>2023</v>
      </c>
      <c r="N11" s="265">
        <v>2500000</v>
      </c>
      <c r="O11" s="194"/>
    </row>
    <row r="12" spans="1:15" hidden="1" thickBot="1" x14ac:dyDescent="0.35">
      <c r="A12" s="295"/>
      <c r="B12" s="291"/>
      <c r="C12" s="483" t="s">
        <v>290</v>
      </c>
      <c r="D12" s="483"/>
      <c r="E12" s="483"/>
      <c r="F12" s="483"/>
      <c r="G12" s="483"/>
      <c r="H12" s="192">
        <f>SUM('TABLA GENERAL FASE 1 Y 2'!S31:S33)</f>
        <v>187486</v>
      </c>
      <c r="I12" s="291"/>
      <c r="J12" s="291"/>
      <c r="K12" s="294"/>
      <c r="L12" s="194"/>
      <c r="M12" s="264">
        <v>2025</v>
      </c>
      <c r="N12" s="265">
        <v>4300000</v>
      </c>
      <c r="O12" s="194"/>
    </row>
    <row r="13" spans="1:15" hidden="1" thickBot="1" x14ac:dyDescent="0.35">
      <c r="A13" s="295"/>
      <c r="B13" s="483" t="s">
        <v>297</v>
      </c>
      <c r="C13" s="483"/>
      <c r="D13" s="483"/>
      <c r="E13" s="483"/>
      <c r="F13" s="483"/>
      <c r="G13" s="483"/>
      <c r="H13" s="483"/>
      <c r="I13" s="192">
        <f>SUM('TABLA GENERAL FASE 1 Y 2'!S34:S38)</f>
        <v>850899</v>
      </c>
      <c r="J13" s="291"/>
      <c r="K13" s="294"/>
      <c r="L13" s="194"/>
      <c r="M13" s="266" t="s">
        <v>678</v>
      </c>
      <c r="N13" s="267">
        <f>SUM(N9:N12)</f>
        <v>11850000</v>
      </c>
      <c r="O13" s="194"/>
    </row>
    <row r="14" spans="1:15" thickBot="1" x14ac:dyDescent="0.35">
      <c r="A14" s="478" t="s">
        <v>758</v>
      </c>
      <c r="B14" s="478"/>
      <c r="C14" s="478"/>
      <c r="D14" s="478"/>
      <c r="E14" s="478"/>
      <c r="F14" s="478"/>
      <c r="G14" s="478"/>
      <c r="H14" s="478"/>
      <c r="I14" s="478"/>
      <c r="J14" s="296">
        <f>I15+I16+I17</f>
        <v>3335223.4515384613</v>
      </c>
      <c r="K14" s="297">
        <v>3333400</v>
      </c>
      <c r="L14" s="194"/>
      <c r="M14" s="503" t="s">
        <v>683</v>
      </c>
      <c r="N14" s="504"/>
      <c r="O14" s="194"/>
    </row>
    <row r="15" spans="1:15" ht="14.45" hidden="1" x14ac:dyDescent="0.3">
      <c r="A15" s="295"/>
      <c r="B15" s="482" t="s">
        <v>311</v>
      </c>
      <c r="C15" s="482"/>
      <c r="D15" s="482"/>
      <c r="E15" s="482"/>
      <c r="F15" s="482"/>
      <c r="G15" s="482"/>
      <c r="H15" s="482"/>
      <c r="I15" s="193">
        <f>SUM('TABLA GENERAL FASE 1 Y 2'!S44:S56)</f>
        <v>1116128.7</v>
      </c>
      <c r="J15" s="291"/>
      <c r="K15" s="292">
        <f>1-(K14/J14)</f>
        <v>5.4672544882117258E-4</v>
      </c>
      <c r="L15" s="194"/>
      <c r="M15" s="183">
        <v>2021</v>
      </c>
      <c r="N15" s="182">
        <f>'CCV TOTAL'!E10</f>
        <v>0</v>
      </c>
      <c r="O15" s="194"/>
    </row>
    <row r="16" spans="1:15" ht="14.45" hidden="1" x14ac:dyDescent="0.3">
      <c r="A16" s="295"/>
      <c r="B16" s="483" t="s">
        <v>332</v>
      </c>
      <c r="C16" s="483"/>
      <c r="D16" s="483"/>
      <c r="E16" s="483"/>
      <c r="F16" s="483"/>
      <c r="G16" s="483"/>
      <c r="H16" s="483"/>
      <c r="I16" s="192">
        <f>SUM('TABLA GENERAL FASE 1 Y 2'!S57:S102)</f>
        <v>154864.12153846159</v>
      </c>
      <c r="J16" s="291"/>
      <c r="K16" s="293">
        <f>J14-K14</f>
        <v>1823.4515384612605</v>
      </c>
      <c r="L16" s="194"/>
      <c r="M16" s="181">
        <v>2022</v>
      </c>
      <c r="N16" s="182">
        <f>'CCV TOTAL'!F10</f>
        <v>83186.603999999992</v>
      </c>
      <c r="O16" s="194"/>
    </row>
    <row r="17" spans="1:15" ht="14.45" hidden="1" x14ac:dyDescent="0.3">
      <c r="A17" s="295"/>
      <c r="B17" s="483" t="s">
        <v>424</v>
      </c>
      <c r="C17" s="483"/>
      <c r="D17" s="483"/>
      <c r="E17" s="483"/>
      <c r="F17" s="483"/>
      <c r="G17" s="483"/>
      <c r="H17" s="483"/>
      <c r="I17" s="192">
        <f>H18+H19</f>
        <v>2064230.63</v>
      </c>
      <c r="J17" s="291"/>
      <c r="K17" s="294"/>
      <c r="L17" s="194"/>
      <c r="M17" s="181">
        <v>2023</v>
      </c>
      <c r="N17" s="182">
        <f>'CCV TOTAL'!G10</f>
        <v>98014.436549999999</v>
      </c>
      <c r="O17" s="194"/>
    </row>
    <row r="18" spans="1:15" ht="14.45" hidden="1" x14ac:dyDescent="0.3">
      <c r="A18" s="295"/>
      <c r="B18" s="295"/>
      <c r="C18" s="482" t="s">
        <v>425</v>
      </c>
      <c r="D18" s="482"/>
      <c r="E18" s="482"/>
      <c r="F18" s="482"/>
      <c r="G18" s="482"/>
      <c r="H18" s="193">
        <f>SUM('TABLA GENERAL FASE 1 Y 2'!S104:S121)</f>
        <v>1683929.88</v>
      </c>
      <c r="I18" s="291"/>
      <c r="J18" s="291"/>
      <c r="K18" s="294"/>
      <c r="L18" s="194"/>
      <c r="M18" s="181">
        <v>2024</v>
      </c>
      <c r="N18" s="182">
        <f>'CCV TOTAL'!H10</f>
        <v>181599.31354999996</v>
      </c>
      <c r="O18" s="194"/>
    </row>
    <row r="19" spans="1:15" ht="14.45" hidden="1" x14ac:dyDescent="0.3">
      <c r="A19" s="295"/>
      <c r="B19" s="295"/>
      <c r="C19" s="483" t="s">
        <v>720</v>
      </c>
      <c r="D19" s="483"/>
      <c r="E19" s="483"/>
      <c r="F19" s="483"/>
      <c r="G19" s="483"/>
      <c r="H19" s="192">
        <f>SUM('TABLA GENERAL FASE 1 Y 2'!S122:S131)</f>
        <v>380300.75</v>
      </c>
      <c r="I19" s="291"/>
      <c r="J19" s="291"/>
      <c r="K19" s="294"/>
      <c r="L19" s="194"/>
      <c r="M19" s="181">
        <v>2025</v>
      </c>
      <c r="N19" s="182">
        <f>'CCV TOTAL'!I10</f>
        <v>118623.80840000001</v>
      </c>
      <c r="O19" s="194"/>
    </row>
    <row r="20" spans="1:15" x14ac:dyDescent="0.25">
      <c r="A20" s="478" t="s">
        <v>759</v>
      </c>
      <c r="B20" s="478"/>
      <c r="C20" s="478"/>
      <c r="D20" s="478"/>
      <c r="E20" s="478"/>
      <c r="F20" s="478"/>
      <c r="G20" s="478"/>
      <c r="H20" s="478"/>
      <c r="I20" s="478"/>
      <c r="J20" s="296">
        <f>I21+I22</f>
        <v>767924.4615384615</v>
      </c>
      <c r="K20" s="297">
        <v>767000</v>
      </c>
      <c r="L20" s="194"/>
      <c r="M20" s="181">
        <v>2026</v>
      </c>
      <c r="N20" s="182">
        <f>'CCV TOTAL'!J10</f>
        <v>179622.301679</v>
      </c>
      <c r="O20" s="194"/>
    </row>
    <row r="21" spans="1:15" ht="14.45" hidden="1" x14ac:dyDescent="0.3">
      <c r="A21" s="295"/>
      <c r="B21" s="482" t="s">
        <v>475</v>
      </c>
      <c r="C21" s="482"/>
      <c r="D21" s="482"/>
      <c r="E21" s="482"/>
      <c r="F21" s="482"/>
      <c r="G21" s="482"/>
      <c r="H21" s="482"/>
      <c r="I21" s="193">
        <f>SUM('TABLA GENERAL FASE 1 Y 2'!S137:S160)</f>
        <v>647628.4615384615</v>
      </c>
      <c r="J21" s="291"/>
      <c r="K21" s="292">
        <f>1-(K20/J20)</f>
        <v>1.2038443685065126E-3</v>
      </c>
      <c r="L21" s="194"/>
      <c r="M21" s="181">
        <v>2027</v>
      </c>
      <c r="N21" s="182">
        <f>'CCV TOTAL'!K10</f>
        <v>184460.65137447004</v>
      </c>
      <c r="O21" s="194"/>
    </row>
    <row r="22" spans="1:15" ht="14.45" hidden="1" x14ac:dyDescent="0.3">
      <c r="A22" s="295"/>
      <c r="B22" s="483" t="s">
        <v>511</v>
      </c>
      <c r="C22" s="483"/>
      <c r="D22" s="483"/>
      <c r="E22" s="483"/>
      <c r="F22" s="483"/>
      <c r="G22" s="483"/>
      <c r="H22" s="483"/>
      <c r="I22" s="192">
        <f>SUM('TABLA GENERAL FASE 1 Y 2'!S161:S166)</f>
        <v>120296</v>
      </c>
      <c r="J22" s="291"/>
      <c r="K22" s="293">
        <f>J20-K20</f>
        <v>924.46153846150264</v>
      </c>
      <c r="L22" s="194"/>
      <c r="M22" s="181">
        <v>2028</v>
      </c>
      <c r="N22" s="182">
        <f>'CCV TOTAL'!L10</f>
        <v>192338.93143580412</v>
      </c>
      <c r="O22" s="194"/>
    </row>
    <row r="23" spans="1:15" x14ac:dyDescent="0.25">
      <c r="A23" s="478" t="s">
        <v>760</v>
      </c>
      <c r="B23" s="478"/>
      <c r="C23" s="478"/>
      <c r="D23" s="478"/>
      <c r="E23" s="478"/>
      <c r="F23" s="478"/>
      <c r="G23" s="478"/>
      <c r="H23" s="478"/>
      <c r="I23" s="478"/>
      <c r="J23" s="296">
        <f>I24+I25+I26</f>
        <v>2584917.54</v>
      </c>
      <c r="K23" s="297">
        <v>2584000</v>
      </c>
      <c r="L23" s="194"/>
      <c r="M23" s="181">
        <v>2029</v>
      </c>
      <c r="N23" s="182">
        <f>'CCV TOTAL'!M10</f>
        <v>184982.03500247825</v>
      </c>
      <c r="O23" s="194"/>
    </row>
    <row r="24" spans="1:15" ht="14.45" hidden="1" x14ac:dyDescent="0.3">
      <c r="A24" s="295"/>
      <c r="B24" s="482" t="s">
        <v>519</v>
      </c>
      <c r="C24" s="482"/>
      <c r="D24" s="482"/>
      <c r="E24" s="482"/>
      <c r="F24" s="482"/>
      <c r="G24" s="482"/>
      <c r="H24" s="482"/>
      <c r="I24" s="193">
        <f>SUM('TABLA GENERAL FASE 1 Y 2'!S172:S179)</f>
        <v>869189.24</v>
      </c>
      <c r="J24" s="291"/>
      <c r="K24" s="292">
        <f>1-(K23/J23)</f>
        <v>3.5495909861793518E-4</v>
      </c>
      <c r="L24" s="194"/>
      <c r="M24" s="181">
        <v>2030</v>
      </c>
      <c r="N24" s="182">
        <f>'CCV TOTAL'!N10</f>
        <v>190078.12250765256</v>
      </c>
      <c r="O24" s="194"/>
    </row>
    <row r="25" spans="1:15" ht="14.45" hidden="1" x14ac:dyDescent="0.3">
      <c r="A25" s="295"/>
      <c r="B25" s="483" t="s">
        <v>721</v>
      </c>
      <c r="C25" s="483"/>
      <c r="D25" s="483"/>
      <c r="E25" s="483"/>
      <c r="F25" s="483"/>
      <c r="G25" s="483"/>
      <c r="H25" s="483"/>
      <c r="I25" s="192">
        <f>SUM('TABLA GENERAL FASE 1 Y 2'!S180:S191)</f>
        <v>1482533</v>
      </c>
      <c r="J25" s="291"/>
      <c r="K25" s="293">
        <f>J23-K23</f>
        <v>917.54000000003725</v>
      </c>
      <c r="L25" s="194"/>
      <c r="M25" s="181">
        <v>2031</v>
      </c>
      <c r="N25" s="182">
        <f>'CCV TOTAL'!O10</f>
        <v>195785.23145798215</v>
      </c>
      <c r="O25" s="194"/>
    </row>
    <row r="26" spans="1:15" ht="14.45" hidden="1" x14ac:dyDescent="0.3">
      <c r="A26" s="295"/>
      <c r="B26" s="483" t="s">
        <v>531</v>
      </c>
      <c r="C26" s="483"/>
      <c r="D26" s="483"/>
      <c r="E26" s="483"/>
      <c r="F26" s="483"/>
      <c r="G26" s="483"/>
      <c r="H26" s="483"/>
      <c r="I26" s="192">
        <f>SUM('TABLA GENERAL FASE 1 Y 2'!S192:S197)</f>
        <v>233195.3</v>
      </c>
      <c r="J26" s="291"/>
      <c r="K26" s="294"/>
      <c r="L26" s="194"/>
      <c r="M26" s="181">
        <v>2032</v>
      </c>
      <c r="N26" s="182">
        <f>'CCV TOTAL'!P10</f>
        <v>183032.68821042165</v>
      </c>
      <c r="O26" s="194"/>
    </row>
    <row r="27" spans="1:15" ht="15" customHeight="1" x14ac:dyDescent="0.25">
      <c r="A27" s="478" t="s">
        <v>761</v>
      </c>
      <c r="B27" s="478"/>
      <c r="C27" s="478"/>
      <c r="D27" s="478"/>
      <c r="E27" s="478"/>
      <c r="F27" s="478"/>
      <c r="G27" s="478"/>
      <c r="H27" s="478"/>
      <c r="I27" s="478"/>
      <c r="J27" s="296">
        <f>SUM('TABLA GENERAL FASE 1 Y 2'!S202:S211)</f>
        <v>524362</v>
      </c>
      <c r="K27" s="297">
        <v>524000</v>
      </c>
      <c r="L27" s="194"/>
      <c r="M27" s="181">
        <v>2033</v>
      </c>
      <c r="N27" s="182">
        <f>'CCV TOTAL'!Q10</f>
        <v>183979.0186768343</v>
      </c>
      <c r="O27" s="194"/>
    </row>
    <row r="28" spans="1:15" ht="15" hidden="1" customHeight="1" x14ac:dyDescent="0.3">
      <c r="A28" s="291"/>
      <c r="B28" s="291"/>
      <c r="C28" s="291"/>
      <c r="D28" s="291"/>
      <c r="E28" s="291"/>
      <c r="F28" s="291"/>
      <c r="G28" s="291"/>
      <c r="H28" s="291"/>
      <c r="I28" s="291"/>
      <c r="J28" s="291"/>
      <c r="K28" s="292">
        <f>1-(K27/J27)</f>
        <v>6.9036276465495039E-4</v>
      </c>
      <c r="L28" s="194"/>
      <c r="M28" s="181"/>
      <c r="N28" s="182"/>
      <c r="O28" s="194"/>
    </row>
    <row r="29" spans="1:15" ht="15" hidden="1" customHeight="1" x14ac:dyDescent="0.3">
      <c r="A29" s="291"/>
      <c r="B29" s="291"/>
      <c r="C29" s="291"/>
      <c r="D29" s="291"/>
      <c r="E29" s="291"/>
      <c r="F29" s="291"/>
      <c r="G29" s="291"/>
      <c r="H29" s="291"/>
      <c r="I29" s="291"/>
      <c r="J29" s="291"/>
      <c r="K29" s="293">
        <f>J27-K27</f>
        <v>362</v>
      </c>
      <c r="L29" s="194"/>
      <c r="M29" s="181"/>
      <c r="N29" s="182"/>
      <c r="O29" s="194"/>
    </row>
    <row r="30" spans="1:15" ht="15" customHeight="1" x14ac:dyDescent="0.25">
      <c r="A30" s="478" t="s">
        <v>762</v>
      </c>
      <c r="B30" s="478"/>
      <c r="C30" s="478"/>
      <c r="D30" s="478"/>
      <c r="E30" s="478"/>
      <c r="F30" s="478"/>
      <c r="G30" s="478"/>
      <c r="H30" s="478"/>
      <c r="I30" s="478"/>
      <c r="J30" s="296">
        <f>SUM('TABLA GENERAL FASE 1 Y 2'!S216)</f>
        <v>5000</v>
      </c>
      <c r="K30" s="297">
        <v>5000</v>
      </c>
      <c r="L30" s="194"/>
      <c r="M30" s="181">
        <v>2034</v>
      </c>
      <c r="N30" s="182">
        <f>'CCV TOTAL'!R10</f>
        <v>161924.41300723929</v>
      </c>
      <c r="O30" s="194"/>
    </row>
    <row r="31" spans="1:15" ht="15" hidden="1" customHeight="1" x14ac:dyDescent="0.3">
      <c r="A31" s="291"/>
      <c r="B31" s="291"/>
      <c r="C31" s="291"/>
      <c r="D31" s="291"/>
      <c r="E31" s="291"/>
      <c r="F31" s="291"/>
      <c r="G31" s="291"/>
      <c r="H31" s="291"/>
      <c r="I31" s="291"/>
      <c r="J31" s="291"/>
      <c r="K31" s="292">
        <f>1-(K30/J30)</f>
        <v>0</v>
      </c>
      <c r="L31" s="194"/>
      <c r="M31" s="181"/>
      <c r="N31" s="182"/>
      <c r="O31" s="194"/>
    </row>
    <row r="32" spans="1:15" ht="15" hidden="1" customHeight="1" x14ac:dyDescent="0.3">
      <c r="A32" s="291"/>
      <c r="B32" s="291"/>
      <c r="C32" s="291"/>
      <c r="D32" s="291"/>
      <c r="E32" s="291"/>
      <c r="F32" s="291"/>
      <c r="G32" s="291"/>
      <c r="H32" s="291"/>
      <c r="I32" s="291"/>
      <c r="J32" s="291"/>
      <c r="K32" s="293">
        <f>J30-K30</f>
        <v>0</v>
      </c>
      <c r="L32" s="194"/>
      <c r="M32" s="181"/>
      <c r="N32" s="182"/>
      <c r="O32" s="194"/>
    </row>
    <row r="33" spans="1:15" x14ac:dyDescent="0.25">
      <c r="A33" s="478" t="s">
        <v>768</v>
      </c>
      <c r="B33" s="478"/>
      <c r="C33" s="478"/>
      <c r="D33" s="478"/>
      <c r="E33" s="478"/>
      <c r="F33" s="478"/>
      <c r="G33" s="478"/>
      <c r="H33" s="478"/>
      <c r="I33" s="478"/>
      <c r="J33" s="296">
        <f>SUM('TABLA GENERAL FASE 1 Y 2'!S221:S231)</f>
        <v>111245.56</v>
      </c>
      <c r="K33" s="297">
        <v>111000</v>
      </c>
      <c r="L33" s="194"/>
      <c r="M33" s="181">
        <v>2035</v>
      </c>
      <c r="N33" s="182">
        <f>'CCV TOTAL'!S10</f>
        <v>197162.49100255646</v>
      </c>
      <c r="O33" s="194"/>
    </row>
    <row r="34" spans="1:15" ht="15" hidden="1" customHeight="1" x14ac:dyDescent="0.3">
      <c r="A34" s="291"/>
      <c r="B34" s="291"/>
      <c r="C34" s="291"/>
      <c r="D34" s="291"/>
      <c r="E34" s="291"/>
      <c r="F34" s="291"/>
      <c r="G34" s="291"/>
      <c r="H34" s="291"/>
      <c r="I34" s="291"/>
      <c r="J34" s="291"/>
      <c r="K34" s="292">
        <f>1-(K33/J33)</f>
        <v>2.207368995221004E-3</v>
      </c>
      <c r="L34" s="194"/>
      <c r="M34" s="181"/>
      <c r="N34" s="182"/>
      <c r="O34" s="194"/>
    </row>
    <row r="35" spans="1:15" ht="15" hidden="1" customHeight="1" x14ac:dyDescent="0.3">
      <c r="A35" s="291"/>
      <c r="B35" s="291"/>
      <c r="C35" s="291"/>
      <c r="D35" s="291"/>
      <c r="E35" s="291"/>
      <c r="F35" s="291"/>
      <c r="G35" s="291"/>
      <c r="H35" s="291"/>
      <c r="I35" s="291"/>
      <c r="J35" s="291"/>
      <c r="K35" s="293">
        <f>J33-K33</f>
        <v>245.55999999999767</v>
      </c>
      <c r="L35" s="194"/>
      <c r="M35" s="181"/>
      <c r="N35" s="182"/>
      <c r="O35" s="194"/>
    </row>
    <row r="36" spans="1:15" ht="15" customHeight="1" x14ac:dyDescent="0.3">
      <c r="A36" s="494" t="s">
        <v>763</v>
      </c>
      <c r="B36" s="495"/>
      <c r="C36" s="495"/>
      <c r="D36" s="495"/>
      <c r="E36" s="495"/>
      <c r="F36" s="495"/>
      <c r="G36" s="495"/>
      <c r="H36" s="495"/>
      <c r="I36" s="496"/>
      <c r="J36" s="296">
        <f>SUM('TABLA GENERAL FASE 1 Y 2'!S237:S239)</f>
        <v>263522</v>
      </c>
      <c r="K36" s="297">
        <v>263000</v>
      </c>
      <c r="L36" s="194"/>
      <c r="M36" s="181">
        <v>2036</v>
      </c>
      <c r="N36" s="182">
        <f>'CCV TOTAL'!T10</f>
        <v>200991.89565773317</v>
      </c>
      <c r="O36" s="194"/>
    </row>
    <row r="37" spans="1:15" ht="15" hidden="1" customHeight="1" x14ac:dyDescent="0.3">
      <c r="A37" s="291"/>
      <c r="B37" s="291"/>
      <c r="C37" s="291"/>
      <c r="D37" s="291"/>
      <c r="E37" s="291"/>
      <c r="F37" s="291"/>
      <c r="G37" s="291"/>
      <c r="H37" s="291"/>
      <c r="I37" s="291"/>
      <c r="J37" s="291"/>
      <c r="K37" s="292">
        <f>1-(K36/J36)</f>
        <v>1.9808592830958816E-3</v>
      </c>
      <c r="L37" s="194"/>
      <c r="M37" s="181"/>
      <c r="N37" s="182"/>
      <c r="O37" s="194"/>
    </row>
    <row r="38" spans="1:15" ht="15" hidden="1" customHeight="1" x14ac:dyDescent="0.3">
      <c r="A38" s="291"/>
      <c r="B38" s="291"/>
      <c r="C38" s="291"/>
      <c r="D38" s="291"/>
      <c r="E38" s="291"/>
      <c r="F38" s="291"/>
      <c r="G38" s="291"/>
      <c r="H38" s="291"/>
      <c r="I38" s="291"/>
      <c r="J38" s="291"/>
      <c r="K38" s="293">
        <f>J36-K36</f>
        <v>522</v>
      </c>
      <c r="L38" s="194"/>
      <c r="M38" s="181"/>
      <c r="N38" s="182"/>
      <c r="O38" s="194"/>
    </row>
    <row r="39" spans="1:15" ht="15" customHeight="1" x14ac:dyDescent="0.25">
      <c r="A39" s="478" t="s">
        <v>764</v>
      </c>
      <c r="B39" s="478"/>
      <c r="C39" s="478"/>
      <c r="D39" s="478"/>
      <c r="E39" s="478"/>
      <c r="F39" s="478"/>
      <c r="G39" s="478"/>
      <c r="H39" s="478"/>
      <c r="I39" s="478"/>
      <c r="J39" s="296">
        <f>SUM('TABLA GENERAL FASE 1 Y 2'!S244)</f>
        <v>172012</v>
      </c>
      <c r="K39" s="297">
        <v>171000</v>
      </c>
      <c r="L39" s="194"/>
      <c r="M39" s="181">
        <v>2037</v>
      </c>
      <c r="N39" s="182">
        <f>'CCV TOTAL'!U10</f>
        <v>190572.6623361652</v>
      </c>
      <c r="O39" s="194"/>
    </row>
    <row r="40" spans="1:15" ht="15" hidden="1" customHeight="1" x14ac:dyDescent="0.3">
      <c r="A40" s="291"/>
      <c r="B40" s="291"/>
      <c r="C40" s="291"/>
      <c r="D40" s="291"/>
      <c r="E40" s="291"/>
      <c r="F40" s="291"/>
      <c r="G40" s="291"/>
      <c r="H40" s="291"/>
      <c r="I40" s="291"/>
      <c r="J40" s="291"/>
      <c r="K40" s="292">
        <f>1-(K39/J39)</f>
        <v>5.8833104667116443E-3</v>
      </c>
      <c r="L40" s="194"/>
      <c r="M40" s="181"/>
      <c r="N40" s="182"/>
      <c r="O40" s="194"/>
    </row>
    <row r="41" spans="1:15" ht="15" hidden="1" customHeight="1" x14ac:dyDescent="0.3">
      <c r="A41" s="291"/>
      <c r="B41" s="291"/>
      <c r="C41" s="291"/>
      <c r="D41" s="291"/>
      <c r="E41" s="291"/>
      <c r="F41" s="291"/>
      <c r="G41" s="291"/>
      <c r="H41" s="291"/>
      <c r="I41" s="291"/>
      <c r="J41" s="291"/>
      <c r="K41" s="293">
        <f>J39-K39</f>
        <v>1012</v>
      </c>
      <c r="L41" s="194"/>
      <c r="M41" s="181"/>
      <c r="N41" s="182"/>
      <c r="O41" s="194"/>
    </row>
    <row r="42" spans="1:15" ht="15" customHeight="1" x14ac:dyDescent="0.3">
      <c r="A42" s="478" t="s">
        <v>765</v>
      </c>
      <c r="B42" s="478"/>
      <c r="C42" s="478"/>
      <c r="D42" s="478"/>
      <c r="E42" s="478"/>
      <c r="F42" s="478"/>
      <c r="G42" s="478"/>
      <c r="H42" s="478"/>
      <c r="I42" s="478"/>
      <c r="J42" s="296">
        <f>SUM('TABLA GENERAL FASE 1 Y 2'!S249)</f>
        <v>90850</v>
      </c>
      <c r="K42" s="297">
        <v>90600</v>
      </c>
      <c r="L42" s="194"/>
      <c r="M42" s="181">
        <v>2038</v>
      </c>
      <c r="N42" s="182">
        <f>'CCV TOTAL'!V10</f>
        <v>192793.87117635016</v>
      </c>
      <c r="O42" s="194"/>
    </row>
    <row r="43" spans="1:15" ht="15" hidden="1" customHeight="1" x14ac:dyDescent="0.3">
      <c r="A43" s="291"/>
      <c r="B43" s="291"/>
      <c r="C43" s="291"/>
      <c r="D43" s="291"/>
      <c r="E43" s="291"/>
      <c r="F43" s="291"/>
      <c r="G43" s="291"/>
      <c r="H43" s="291"/>
      <c r="I43" s="291"/>
      <c r="J43" s="291"/>
      <c r="K43" s="292">
        <f>1-(K42/J42)</f>
        <v>2.7517886626307053E-3</v>
      </c>
      <c r="L43" s="194"/>
      <c r="M43" s="181"/>
      <c r="N43" s="182"/>
      <c r="O43" s="194"/>
    </row>
    <row r="44" spans="1:15" ht="15" hidden="1" customHeight="1" x14ac:dyDescent="0.3">
      <c r="A44" s="291"/>
      <c r="B44" s="291"/>
      <c r="C44" s="291"/>
      <c r="D44" s="291"/>
      <c r="E44" s="291"/>
      <c r="F44" s="291"/>
      <c r="G44" s="291"/>
      <c r="H44" s="291"/>
      <c r="I44" s="291"/>
      <c r="J44" s="291"/>
      <c r="K44" s="293">
        <f>J42-K42</f>
        <v>250</v>
      </c>
      <c r="L44" s="194"/>
      <c r="M44" s="181"/>
      <c r="N44" s="182"/>
      <c r="O44" s="194"/>
    </row>
    <row r="45" spans="1:15" ht="15" customHeight="1" x14ac:dyDescent="0.3">
      <c r="A45" s="478" t="s">
        <v>766</v>
      </c>
      <c r="B45" s="478"/>
      <c r="C45" s="478"/>
      <c r="D45" s="478"/>
      <c r="E45" s="478"/>
      <c r="F45" s="478"/>
      <c r="G45" s="478"/>
      <c r="H45" s="478"/>
      <c r="I45" s="478"/>
      <c r="J45" s="296">
        <f>I46</f>
        <v>389449.83999999997</v>
      </c>
      <c r="K45" s="297">
        <v>389400</v>
      </c>
      <c r="L45" s="194"/>
      <c r="M45" s="181">
        <v>2039</v>
      </c>
      <c r="N45" s="182">
        <f>'CCV TOTAL'!W10</f>
        <v>169603.08493174062</v>
      </c>
      <c r="O45" s="194"/>
    </row>
    <row r="46" spans="1:15" ht="15" hidden="1" customHeight="1" x14ac:dyDescent="0.3">
      <c r="A46" s="295"/>
      <c r="B46" s="497" t="s">
        <v>206</v>
      </c>
      <c r="C46" s="497"/>
      <c r="D46" s="497"/>
      <c r="E46" s="497"/>
      <c r="F46" s="497"/>
      <c r="G46" s="497"/>
      <c r="H46" s="497"/>
      <c r="I46" s="298">
        <f>SUM('TABLA GENERAL FASE 1 Y 2'!S254:S257)</f>
        <v>389449.83999999997</v>
      </c>
      <c r="J46" s="291"/>
      <c r="K46" s="292">
        <f>1-(K45/J45)</f>
        <v>1.2797540242914796E-4</v>
      </c>
      <c r="L46" s="194"/>
      <c r="M46" s="181">
        <v>2040</v>
      </c>
      <c r="N46" s="182">
        <f>'CCV TOTAL'!X10</f>
        <v>148731.54254479287</v>
      </c>
      <c r="O46" s="194"/>
    </row>
    <row r="47" spans="1:15" ht="15" hidden="1" customHeight="1" x14ac:dyDescent="0.3">
      <c r="A47" s="295"/>
      <c r="B47" s="299"/>
      <c r="C47" s="299"/>
      <c r="D47" s="299"/>
      <c r="E47" s="299"/>
      <c r="F47" s="299"/>
      <c r="G47" s="299"/>
      <c r="H47" s="299"/>
      <c r="I47" s="298"/>
      <c r="J47" s="291"/>
      <c r="K47" s="293">
        <f>J45-K45</f>
        <v>49.839999999967404</v>
      </c>
      <c r="L47" s="194"/>
      <c r="M47" s="181"/>
      <c r="N47" s="182"/>
      <c r="O47" s="194"/>
    </row>
    <row r="48" spans="1:15" ht="15" customHeight="1" thickBot="1" x14ac:dyDescent="0.35">
      <c r="A48" s="478" t="s">
        <v>767</v>
      </c>
      <c r="B48" s="478"/>
      <c r="C48" s="478"/>
      <c r="D48" s="478"/>
      <c r="E48" s="478"/>
      <c r="F48" s="478"/>
      <c r="G48" s="478"/>
      <c r="H48" s="478"/>
      <c r="I48" s="478"/>
      <c r="J48" s="300">
        <f>SUM('TABLA GENERAL FASE 1 Y 2'!S262:S266)</f>
        <v>61668</v>
      </c>
      <c r="K48" s="301">
        <v>61600</v>
      </c>
      <c r="L48" s="194"/>
      <c r="M48" s="181">
        <v>2041</v>
      </c>
      <c r="N48" s="182">
        <f>'CCV TOTAL'!Y10</f>
        <v>57592.245415000012</v>
      </c>
      <c r="O48" s="194"/>
    </row>
    <row r="49" spans="1:15" ht="18.600000000000001" thickBot="1" x14ac:dyDescent="0.4">
      <c r="A49" s="194"/>
      <c r="B49" s="194"/>
      <c r="C49" s="194"/>
      <c r="D49" s="194"/>
      <c r="E49" s="194"/>
      <c r="F49" s="194"/>
      <c r="G49" s="194"/>
      <c r="H49" s="194"/>
      <c r="J49" s="287" t="s">
        <v>96</v>
      </c>
      <c r="K49" s="277">
        <f>1-(K48/J48)</f>
        <v>1.1026788609975746E-3</v>
      </c>
      <c r="L49" s="288">
        <f>L4</f>
        <v>11850000</v>
      </c>
      <c r="M49" s="276">
        <v>2042</v>
      </c>
      <c r="N49" s="182">
        <f>'CCV TOTAL'!Z10</f>
        <v>22462.995999999999</v>
      </c>
      <c r="O49" s="194"/>
    </row>
    <row r="50" spans="1:15" ht="14.45" x14ac:dyDescent="0.3">
      <c r="A50" s="194"/>
      <c r="B50" s="194"/>
      <c r="C50" s="194"/>
      <c r="D50" s="194"/>
      <c r="E50" s="194"/>
      <c r="F50" s="194"/>
      <c r="G50" s="194"/>
      <c r="H50" s="194"/>
      <c r="I50" s="194"/>
      <c r="J50" s="194"/>
      <c r="K50" s="274">
        <f>J48-K48</f>
        <v>68</v>
      </c>
      <c r="L50" s="194"/>
      <c r="M50" s="181">
        <v>2043</v>
      </c>
      <c r="N50" s="182">
        <f>'CCV TOTAL'!AA10</f>
        <v>27709.196</v>
      </c>
      <c r="O50" s="194"/>
    </row>
    <row r="51" spans="1:15" thickBot="1" x14ac:dyDescent="0.35">
      <c r="A51" s="194"/>
      <c r="B51" s="194"/>
      <c r="C51" s="194"/>
      <c r="D51" s="194"/>
      <c r="E51" s="194"/>
      <c r="F51" s="194"/>
      <c r="G51" s="194"/>
      <c r="H51" s="194"/>
      <c r="I51" s="194"/>
      <c r="J51" s="194"/>
      <c r="K51" s="194"/>
      <c r="L51" s="194"/>
      <c r="M51" s="181">
        <v>2044</v>
      </c>
      <c r="N51" s="182">
        <f>'CCV TOTAL'!AB10</f>
        <v>18230.595999999998</v>
      </c>
      <c r="O51" s="194"/>
    </row>
    <row r="52" spans="1:15" ht="15" customHeight="1" thickBot="1" x14ac:dyDescent="0.3">
      <c r="A52" s="194"/>
      <c r="B52" s="194"/>
      <c r="C52" s="194"/>
      <c r="D52" s="194"/>
      <c r="E52" s="194"/>
      <c r="F52" s="194"/>
      <c r="G52" s="194"/>
      <c r="H52" s="501" t="s">
        <v>748</v>
      </c>
      <c r="I52" s="502"/>
      <c r="J52" s="502"/>
      <c r="K52" s="302">
        <f>(SUM(K49+K46+K43+K40+K37+K34+K31+K28+K24+K21+K15+K5))/12</f>
        <v>1.5017178156697582E-3</v>
      </c>
      <c r="L52" s="194"/>
      <c r="M52" s="181">
        <v>2045</v>
      </c>
      <c r="N52" s="182">
        <f>'CCV TOTAL'!AC10</f>
        <v>28185.196</v>
      </c>
      <c r="O52" s="194"/>
    </row>
    <row r="53" spans="1:15" ht="15" customHeight="1" thickBot="1" x14ac:dyDescent="0.35">
      <c r="A53" s="194"/>
      <c r="B53" s="194"/>
      <c r="C53" s="194"/>
      <c r="D53" s="194"/>
      <c r="E53" s="194"/>
      <c r="F53" s="194"/>
      <c r="G53" s="194"/>
      <c r="H53" s="498" t="s">
        <v>749</v>
      </c>
      <c r="I53" s="499"/>
      <c r="J53" s="500"/>
      <c r="K53" s="303">
        <f>(SUM(K50+K47+K44+K41+K38+K35+K32+K29+K25+K22+K16+K6))/12</f>
        <v>861.32108974356379</v>
      </c>
      <c r="L53" s="194"/>
      <c r="M53" s="181">
        <v>2046</v>
      </c>
      <c r="N53" s="182">
        <f>'CCV TOTAL'!AD10</f>
        <v>1405.5</v>
      </c>
      <c r="O53" s="194"/>
    </row>
    <row r="54" spans="1:15" ht="24.75" customHeight="1" thickBot="1" x14ac:dyDescent="0.35">
      <c r="A54" s="194"/>
      <c r="B54" s="194"/>
      <c r="C54" s="194"/>
      <c r="D54" s="194"/>
      <c r="E54" s="194"/>
      <c r="F54" s="194"/>
      <c r="G54" s="194"/>
      <c r="H54" s="194"/>
      <c r="I54" s="194"/>
      <c r="J54" s="194"/>
      <c r="K54" s="194"/>
      <c r="L54" s="194"/>
      <c r="M54" s="180" t="s">
        <v>681</v>
      </c>
      <c r="N54" s="184">
        <f>SUM(N15:N53)</f>
        <v>3393068.8329162202</v>
      </c>
      <c r="O54" s="194"/>
    </row>
    <row r="55" spans="1:15" ht="24" customHeight="1" thickBot="1" x14ac:dyDescent="0.3">
      <c r="A55" s="194"/>
      <c r="B55" s="194"/>
      <c r="C55" s="194"/>
      <c r="D55" s="194"/>
      <c r="E55" s="194"/>
      <c r="F55" s="194"/>
      <c r="G55" s="194"/>
      <c r="H55" s="194"/>
      <c r="I55" s="194"/>
      <c r="J55" s="194"/>
      <c r="K55" s="194"/>
      <c r="L55" s="194"/>
      <c r="M55" s="179" t="s">
        <v>684</v>
      </c>
      <c r="N55" s="185">
        <f>N13+N54</f>
        <v>15243068.832916221</v>
      </c>
      <c r="O55" s="194"/>
    </row>
    <row r="56" spans="1:15" ht="36" customHeight="1" thickBot="1" x14ac:dyDescent="0.35">
      <c r="A56" s="194"/>
      <c r="B56" s="194"/>
      <c r="C56" s="194"/>
      <c r="D56" s="194"/>
      <c r="E56" s="194"/>
      <c r="F56" s="194"/>
      <c r="G56" s="194"/>
      <c r="H56" s="194"/>
      <c r="I56" s="194"/>
      <c r="J56" s="194"/>
      <c r="K56" s="194"/>
      <c r="L56" s="194"/>
      <c r="M56" s="194"/>
      <c r="N56" s="194"/>
      <c r="O56" s="194"/>
    </row>
    <row r="57" spans="1:15" ht="35.25" customHeight="1" thickBot="1" x14ac:dyDescent="0.3">
      <c r="A57" s="194"/>
      <c r="B57" s="194"/>
      <c r="C57" s="194"/>
      <c r="D57" s="194"/>
      <c r="E57" s="194"/>
      <c r="F57" s="194"/>
      <c r="G57" s="194"/>
      <c r="H57" s="194"/>
      <c r="I57" s="194"/>
      <c r="J57" s="194"/>
      <c r="K57" s="479" t="s">
        <v>724</v>
      </c>
      <c r="L57" s="480"/>
      <c r="M57" s="481"/>
      <c r="N57" s="304">
        <f>((N54/20)/J2)</f>
        <v>1.4304269604793519E-2</v>
      </c>
      <c r="O57" s="194"/>
    </row>
    <row r="58" spans="1:15" ht="15.75" thickBot="1" x14ac:dyDescent="0.3">
      <c r="A58" s="194"/>
      <c r="B58" s="194"/>
      <c r="C58" s="194"/>
      <c r="D58" s="194"/>
      <c r="E58" s="194"/>
      <c r="F58" s="194"/>
      <c r="G58" s="194"/>
      <c r="H58" s="194"/>
      <c r="I58" s="194"/>
      <c r="J58" s="194"/>
      <c r="K58" s="194"/>
      <c r="L58" s="194"/>
      <c r="M58" s="194"/>
      <c r="N58" s="194"/>
      <c r="O58" s="194"/>
    </row>
    <row r="59" spans="1:15" ht="30" customHeight="1" thickBot="1" x14ac:dyDescent="0.3">
      <c r="A59" s="194"/>
      <c r="B59" s="194"/>
      <c r="C59" s="194"/>
      <c r="D59" s="194"/>
      <c r="E59" s="194"/>
      <c r="F59" s="194"/>
      <c r="G59" s="194"/>
      <c r="H59" s="275">
        <f>1185000/N57</f>
        <v>82842398.300636992</v>
      </c>
      <c r="I59" s="194"/>
      <c r="J59" s="194"/>
      <c r="K59" s="194"/>
      <c r="L59" s="479" t="s">
        <v>684</v>
      </c>
      <c r="M59" s="480"/>
      <c r="N59" s="305">
        <f>N55</f>
        <v>15243068.832916221</v>
      </c>
      <c r="O59" s="194"/>
    </row>
    <row r="60" spans="1:15" x14ac:dyDescent="0.25">
      <c r="A60" s="194"/>
      <c r="B60" s="194"/>
      <c r="C60" s="194"/>
      <c r="D60" s="194"/>
      <c r="E60" s="194"/>
      <c r="F60" s="194"/>
      <c r="G60" s="194"/>
      <c r="H60" s="194"/>
      <c r="I60" s="194"/>
      <c r="J60" s="194"/>
      <c r="K60" s="194"/>
      <c r="L60" s="194"/>
      <c r="M60" s="194"/>
      <c r="N60" s="194"/>
      <c r="O60" s="194"/>
    </row>
    <row r="61" spans="1:15" x14ac:dyDescent="0.25">
      <c r="A61" s="194"/>
      <c r="B61" s="194"/>
      <c r="C61" s="194"/>
      <c r="D61" s="194"/>
      <c r="E61" s="194"/>
      <c r="F61" s="194"/>
      <c r="G61" s="194"/>
      <c r="H61" s="194"/>
      <c r="I61" s="194"/>
      <c r="J61" s="194"/>
      <c r="K61" s="194"/>
      <c r="L61" s="194"/>
      <c r="M61" s="194"/>
      <c r="N61" s="194"/>
      <c r="O61" s="194"/>
    </row>
    <row r="62" spans="1:15" x14ac:dyDescent="0.25">
      <c r="A62" s="194"/>
      <c r="B62" s="194"/>
      <c r="C62" s="194"/>
      <c r="D62" s="194"/>
      <c r="E62" s="194"/>
      <c r="F62" s="194"/>
      <c r="G62" s="194"/>
      <c r="H62" s="194"/>
      <c r="I62" s="194"/>
      <c r="J62" s="194"/>
      <c r="K62" s="194"/>
      <c r="L62" s="194"/>
      <c r="M62" s="194"/>
      <c r="N62" s="194"/>
      <c r="O62" s="194"/>
    </row>
    <row r="63" spans="1:15" x14ac:dyDescent="0.25">
      <c r="A63" s="194"/>
      <c r="B63" s="194"/>
      <c r="C63" s="194"/>
      <c r="D63" s="194"/>
      <c r="E63" s="194"/>
      <c r="F63" s="194"/>
      <c r="G63" s="194"/>
      <c r="H63" s="194"/>
      <c r="I63" s="194"/>
      <c r="J63" s="194"/>
      <c r="K63" s="194"/>
      <c r="L63" s="194"/>
      <c r="M63" s="194"/>
      <c r="N63" s="194"/>
      <c r="O63" s="194"/>
    </row>
    <row r="64" spans="1:15" ht="15.75" thickBot="1" x14ac:dyDescent="0.3">
      <c r="A64" s="194"/>
      <c r="B64" s="194"/>
      <c r="C64" s="194"/>
      <c r="D64" s="194"/>
      <c r="E64" s="194"/>
      <c r="F64" s="194"/>
      <c r="G64" s="194"/>
      <c r="H64" s="194"/>
      <c r="I64" s="194"/>
      <c r="J64" s="194"/>
      <c r="K64" s="194"/>
    </row>
    <row r="65" spans="13:14" ht="15.75" customHeight="1" x14ac:dyDescent="0.25">
      <c r="M65" s="484" t="s">
        <v>675</v>
      </c>
      <c r="N65" s="485"/>
    </row>
    <row r="66" spans="13:14" ht="15.75" customHeight="1" thickBot="1" x14ac:dyDescent="0.3">
      <c r="M66" s="486" t="s">
        <v>679</v>
      </c>
      <c r="N66" s="487"/>
    </row>
    <row r="67" spans="13:14" ht="15.75" customHeight="1" thickBot="1" x14ac:dyDescent="0.3">
      <c r="M67" s="261" t="s">
        <v>676</v>
      </c>
      <c r="N67" s="261" t="s">
        <v>677</v>
      </c>
    </row>
    <row r="68" spans="13:14" ht="15" customHeight="1" x14ac:dyDescent="0.25">
      <c r="M68" s="488" t="s">
        <v>680</v>
      </c>
      <c r="N68" s="489"/>
    </row>
    <row r="69" spans="13:14" ht="15.75" customHeight="1" thickBot="1" x14ac:dyDescent="0.3">
      <c r="M69" s="490"/>
      <c r="N69" s="491"/>
    </row>
    <row r="70" spans="13:14" ht="15.75" customHeight="1" x14ac:dyDescent="0.25">
      <c r="M70" s="262">
        <v>2021</v>
      </c>
      <c r="N70" s="263">
        <v>2550000</v>
      </c>
    </row>
    <row r="71" spans="13:14" ht="15.75" customHeight="1" x14ac:dyDescent="0.25">
      <c r="M71" s="264">
        <v>2022</v>
      </c>
      <c r="N71" s="265">
        <v>2500000</v>
      </c>
    </row>
    <row r="72" spans="13:14" ht="15.75" customHeight="1" x14ac:dyDescent="0.25">
      <c r="M72" s="264">
        <v>2023</v>
      </c>
      <c r="N72" s="265">
        <v>2500000</v>
      </c>
    </row>
    <row r="73" spans="13:14" ht="15.75" customHeight="1" x14ac:dyDescent="0.25">
      <c r="M73" s="264">
        <v>2025</v>
      </c>
      <c r="N73" s="265">
        <v>4300000</v>
      </c>
    </row>
    <row r="74" spans="13:14" ht="15.75" customHeight="1" thickBot="1" x14ac:dyDescent="0.3">
      <c r="M74" s="266" t="s">
        <v>678</v>
      </c>
      <c r="N74" s="267">
        <f>SUM(N70:N73)</f>
        <v>11850000</v>
      </c>
    </row>
    <row r="75" spans="13:14" ht="15.75" customHeight="1" thickBot="1" x14ac:dyDescent="0.3">
      <c r="M75" s="492" t="s">
        <v>747</v>
      </c>
      <c r="N75" s="493"/>
    </row>
    <row r="76" spans="13:14" ht="15" customHeight="1" thickBot="1" x14ac:dyDescent="0.3">
      <c r="M76" s="261" t="s">
        <v>676</v>
      </c>
      <c r="N76" s="261" t="s">
        <v>677</v>
      </c>
    </row>
    <row r="77" spans="13:14" ht="15" customHeight="1" x14ac:dyDescent="0.25">
      <c r="M77" s="183">
        <v>2021</v>
      </c>
      <c r="N77" s="182">
        <f t="shared" ref="N77:N89" si="0">N15</f>
        <v>0</v>
      </c>
    </row>
    <row r="78" spans="13:14" x14ac:dyDescent="0.25">
      <c r="M78" s="181">
        <v>2022</v>
      </c>
      <c r="N78" s="182">
        <f t="shared" si="0"/>
        <v>83186.603999999992</v>
      </c>
    </row>
    <row r="79" spans="13:14" x14ac:dyDescent="0.25">
      <c r="M79" s="181">
        <v>2023</v>
      </c>
      <c r="N79" s="182">
        <f t="shared" si="0"/>
        <v>98014.436549999999</v>
      </c>
    </row>
    <row r="80" spans="13:14" x14ac:dyDescent="0.25">
      <c r="M80" s="181">
        <v>2024</v>
      </c>
      <c r="N80" s="182">
        <f t="shared" si="0"/>
        <v>181599.31354999996</v>
      </c>
    </row>
    <row r="81" spans="13:14" x14ac:dyDescent="0.25">
      <c r="M81" s="181">
        <v>2025</v>
      </c>
      <c r="N81" s="182">
        <f t="shared" si="0"/>
        <v>118623.80840000001</v>
      </c>
    </row>
    <row r="82" spans="13:14" x14ac:dyDescent="0.25">
      <c r="M82" s="181">
        <v>2026</v>
      </c>
      <c r="N82" s="182">
        <f t="shared" si="0"/>
        <v>179622.301679</v>
      </c>
    </row>
    <row r="83" spans="13:14" ht="15" customHeight="1" x14ac:dyDescent="0.25">
      <c r="M83" s="181">
        <v>2027</v>
      </c>
      <c r="N83" s="182">
        <f t="shared" si="0"/>
        <v>184460.65137447004</v>
      </c>
    </row>
    <row r="84" spans="13:14" x14ac:dyDescent="0.25">
      <c r="M84" s="181">
        <v>2028</v>
      </c>
      <c r="N84" s="182">
        <f t="shared" si="0"/>
        <v>192338.93143580412</v>
      </c>
    </row>
    <row r="85" spans="13:14" x14ac:dyDescent="0.25">
      <c r="M85" s="181">
        <v>2029</v>
      </c>
      <c r="N85" s="182">
        <f t="shared" si="0"/>
        <v>184982.03500247825</v>
      </c>
    </row>
    <row r="86" spans="13:14" ht="15" customHeight="1" x14ac:dyDescent="0.25">
      <c r="M86" s="181">
        <v>2030</v>
      </c>
      <c r="N86" s="182">
        <f t="shared" si="0"/>
        <v>190078.12250765256</v>
      </c>
    </row>
    <row r="87" spans="13:14" x14ac:dyDescent="0.25">
      <c r="M87" s="181">
        <v>2031</v>
      </c>
      <c r="N87" s="182">
        <f t="shared" si="0"/>
        <v>195785.23145798215</v>
      </c>
    </row>
    <row r="88" spans="13:14" x14ac:dyDescent="0.25">
      <c r="M88" s="181">
        <v>2032</v>
      </c>
      <c r="N88" s="182">
        <f t="shared" si="0"/>
        <v>183032.68821042165</v>
      </c>
    </row>
    <row r="89" spans="13:14" x14ac:dyDescent="0.25">
      <c r="M89" s="181">
        <v>2033</v>
      </c>
      <c r="N89" s="182">
        <f t="shared" si="0"/>
        <v>183979.0186768343</v>
      </c>
    </row>
    <row r="90" spans="13:14" ht="15" customHeight="1" x14ac:dyDescent="0.25">
      <c r="M90" s="181">
        <v>2034</v>
      </c>
      <c r="N90" s="182">
        <f>N30</f>
        <v>161924.41300723929</v>
      </c>
    </row>
    <row r="91" spans="13:14" ht="15" customHeight="1" x14ac:dyDescent="0.25">
      <c r="M91" s="181">
        <v>2035</v>
      </c>
      <c r="N91" s="182">
        <f>N33</f>
        <v>197162.49100255646</v>
      </c>
    </row>
    <row r="92" spans="13:14" ht="15" customHeight="1" x14ac:dyDescent="0.25">
      <c r="M92" s="181">
        <v>2036</v>
      </c>
      <c r="N92" s="182">
        <f>N36</f>
        <v>200991.89565773317</v>
      </c>
    </row>
    <row r="93" spans="13:14" ht="15" customHeight="1" x14ac:dyDescent="0.25">
      <c r="M93" s="181">
        <v>2037</v>
      </c>
      <c r="N93" s="182">
        <f>N39</f>
        <v>190572.6623361652</v>
      </c>
    </row>
    <row r="94" spans="13:14" ht="15" customHeight="1" x14ac:dyDescent="0.25">
      <c r="M94" s="181">
        <v>2038</v>
      </c>
      <c r="N94" s="182">
        <f>N42</f>
        <v>192793.87117635016</v>
      </c>
    </row>
    <row r="95" spans="13:14" ht="15" customHeight="1" x14ac:dyDescent="0.25">
      <c r="M95" s="181">
        <v>2039</v>
      </c>
      <c r="N95" s="182">
        <f>N45</f>
        <v>169603.08493174062</v>
      </c>
    </row>
    <row r="96" spans="13:14" ht="15" customHeight="1" x14ac:dyDescent="0.25">
      <c r="M96" s="181">
        <v>2040</v>
      </c>
      <c r="N96" s="182">
        <f>N46</f>
        <v>148731.54254479287</v>
      </c>
    </row>
    <row r="97" spans="13:14" x14ac:dyDescent="0.25">
      <c r="M97" s="181">
        <v>2041</v>
      </c>
      <c r="N97" s="182">
        <f t="shared" ref="N97:N102" si="1">N48</f>
        <v>57592.245415000012</v>
      </c>
    </row>
    <row r="98" spans="13:14" ht="15" customHeight="1" x14ac:dyDescent="0.25">
      <c r="M98" s="181">
        <v>2042</v>
      </c>
      <c r="N98" s="182">
        <f t="shared" si="1"/>
        <v>22462.995999999999</v>
      </c>
    </row>
    <row r="99" spans="13:14" x14ac:dyDescent="0.25">
      <c r="M99" s="181">
        <v>2043</v>
      </c>
      <c r="N99" s="182">
        <f t="shared" si="1"/>
        <v>27709.196</v>
      </c>
    </row>
    <row r="100" spans="13:14" x14ac:dyDescent="0.25">
      <c r="M100" s="181">
        <v>2044</v>
      </c>
      <c r="N100" s="182">
        <f t="shared" si="1"/>
        <v>18230.595999999998</v>
      </c>
    </row>
    <row r="101" spans="13:14" x14ac:dyDescent="0.25">
      <c r="M101" s="181">
        <v>2045</v>
      </c>
      <c r="N101" s="182">
        <f t="shared" si="1"/>
        <v>28185.196</v>
      </c>
    </row>
    <row r="102" spans="13:14" x14ac:dyDescent="0.25">
      <c r="M102" s="181">
        <v>2046</v>
      </c>
      <c r="N102" s="182">
        <f t="shared" si="1"/>
        <v>1405.5</v>
      </c>
    </row>
    <row r="103" spans="13:14" ht="24.75" thickBot="1" x14ac:dyDescent="0.3">
      <c r="M103" s="180" t="s">
        <v>681</v>
      </c>
      <c r="N103" s="184">
        <f>SUM(N77:N102)</f>
        <v>3393068.8329162202</v>
      </c>
    </row>
    <row r="104" spans="13:14" ht="24.75" thickBot="1" x14ac:dyDescent="0.3">
      <c r="M104" s="179" t="s">
        <v>684</v>
      </c>
      <c r="N104" s="185">
        <f>N74+N103</f>
        <v>15243068.832916221</v>
      </c>
    </row>
  </sheetData>
  <mergeCells count="45">
    <mergeCell ref="C11:G11"/>
    <mergeCell ref="A4:I4"/>
    <mergeCell ref="M4:N4"/>
    <mergeCell ref="B5:H5"/>
    <mergeCell ref="M5:N5"/>
    <mergeCell ref="C6:G6"/>
    <mergeCell ref="C7:G7"/>
    <mergeCell ref="M7:N8"/>
    <mergeCell ref="B8:H8"/>
    <mergeCell ref="C9:G9"/>
    <mergeCell ref="C10:G10"/>
    <mergeCell ref="B13:H13"/>
    <mergeCell ref="A14:I14"/>
    <mergeCell ref="M14:N14"/>
    <mergeCell ref="B15:H15"/>
    <mergeCell ref="B16:H16"/>
    <mergeCell ref="M65:N65"/>
    <mergeCell ref="M66:N66"/>
    <mergeCell ref="M68:N69"/>
    <mergeCell ref="M75:N75"/>
    <mergeCell ref="A33:I33"/>
    <mergeCell ref="A36:I36"/>
    <mergeCell ref="A39:I39"/>
    <mergeCell ref="A42:I42"/>
    <mergeCell ref="A45:I45"/>
    <mergeCell ref="B46:H46"/>
    <mergeCell ref="L59:M59"/>
    <mergeCell ref="H53:J53"/>
    <mergeCell ref="H52:J52"/>
    <mergeCell ref="A2:I3"/>
    <mergeCell ref="A48:I48"/>
    <mergeCell ref="K57:M57"/>
    <mergeCell ref="A23:I23"/>
    <mergeCell ref="B24:H24"/>
    <mergeCell ref="B25:H25"/>
    <mergeCell ref="B26:H26"/>
    <mergeCell ref="A27:I27"/>
    <mergeCell ref="A30:I30"/>
    <mergeCell ref="B17:H17"/>
    <mergeCell ref="C18:G18"/>
    <mergeCell ref="C19:G19"/>
    <mergeCell ref="A20:I20"/>
    <mergeCell ref="B21:H21"/>
    <mergeCell ref="B22:H22"/>
    <mergeCell ref="C12:G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I20" sqref="I20"/>
    </sheetView>
  </sheetViews>
  <sheetFormatPr baseColWidth="10" defaultRowHeight="15" x14ac:dyDescent="0.25"/>
  <cols>
    <col min="1" max="2" width="11.42578125" style="1"/>
    <col min="3" max="3" width="12.5703125" style="1" customWidth="1"/>
    <col min="4" max="10" width="15.7109375" customWidth="1"/>
  </cols>
  <sheetData>
    <row r="1" spans="1:10" ht="19.5" thickBot="1" x14ac:dyDescent="0.35">
      <c r="A1" s="512" t="s">
        <v>0</v>
      </c>
      <c r="B1" s="512"/>
      <c r="C1" s="512"/>
      <c r="D1" s="512"/>
      <c r="E1" s="512"/>
      <c r="F1" s="512"/>
      <c r="G1" s="512"/>
      <c r="H1" s="512"/>
      <c r="I1" s="512"/>
      <c r="J1" s="512"/>
    </row>
    <row r="2" spans="1:10" ht="16.5" thickBot="1" x14ac:dyDescent="0.3">
      <c r="A2" s="513" t="s">
        <v>1</v>
      </c>
      <c r="B2" s="514"/>
      <c r="C2" s="514"/>
      <c r="D2" s="514" t="s">
        <v>2</v>
      </c>
      <c r="E2" s="514"/>
      <c r="F2" s="514"/>
      <c r="G2" s="514"/>
      <c r="H2" s="514"/>
      <c r="I2" s="514"/>
      <c r="J2" s="515"/>
    </row>
    <row r="3" spans="1:10" ht="15.75" x14ac:dyDescent="0.25">
      <c r="A3" s="516" t="s">
        <v>3</v>
      </c>
      <c r="B3" s="517"/>
      <c r="C3" s="517"/>
      <c r="D3" s="517"/>
      <c r="E3" s="517"/>
      <c r="F3" s="517"/>
      <c r="G3" s="517"/>
      <c r="H3" s="517"/>
      <c r="I3" s="517"/>
      <c r="J3" s="518"/>
    </row>
    <row r="4" spans="1:10" x14ac:dyDescent="0.25">
      <c r="A4" s="519" t="s">
        <v>4</v>
      </c>
      <c r="B4" s="520"/>
      <c r="C4" s="521"/>
      <c r="D4" s="522" t="s">
        <v>5</v>
      </c>
      <c r="E4" s="523"/>
      <c r="F4" s="523"/>
      <c r="G4" s="523"/>
      <c r="H4" s="523"/>
      <c r="I4" s="523"/>
      <c r="J4" s="524"/>
    </row>
    <row r="5" spans="1:10" ht="15.75" thickBot="1" x14ac:dyDescent="0.3">
      <c r="A5" s="525" t="s">
        <v>6</v>
      </c>
      <c r="B5" s="526"/>
      <c r="C5" s="527"/>
      <c r="D5" s="528" t="s">
        <v>7</v>
      </c>
      <c r="E5" s="529"/>
      <c r="F5" s="529"/>
      <c r="G5" s="529"/>
      <c r="H5" s="529"/>
      <c r="I5" s="529"/>
      <c r="J5" s="530"/>
    </row>
    <row r="6" spans="1:10" thickBot="1" x14ac:dyDescent="0.35">
      <c r="A6" s="531"/>
      <c r="B6" s="531"/>
      <c r="C6" s="531"/>
      <c r="D6" s="531"/>
      <c r="E6" s="531"/>
      <c r="F6" s="531"/>
      <c r="G6" s="531"/>
      <c r="H6" s="531"/>
      <c r="I6" s="531"/>
      <c r="J6" s="531"/>
    </row>
    <row r="7" spans="1:10" ht="15.75" x14ac:dyDescent="0.25">
      <c r="A7" s="516" t="s">
        <v>8</v>
      </c>
      <c r="B7" s="517"/>
      <c r="C7" s="517"/>
      <c r="D7" s="517"/>
      <c r="E7" s="517"/>
      <c r="F7" s="517"/>
      <c r="G7" s="517"/>
      <c r="H7" s="517"/>
      <c r="I7" s="517"/>
      <c r="J7" s="518"/>
    </row>
    <row r="8" spans="1:10" ht="32.25" customHeight="1" x14ac:dyDescent="0.25">
      <c r="A8" s="532" t="s">
        <v>9</v>
      </c>
      <c r="B8" s="533"/>
      <c r="C8" s="534"/>
      <c r="D8" s="522" t="s">
        <v>10</v>
      </c>
      <c r="E8" s="523"/>
      <c r="F8" s="523"/>
      <c r="G8" s="523"/>
      <c r="H8" s="523"/>
      <c r="I8" s="523"/>
      <c r="J8" s="524"/>
    </row>
    <row r="9" spans="1:10" ht="48.75" customHeight="1" x14ac:dyDescent="0.25">
      <c r="A9" s="532" t="s">
        <v>11</v>
      </c>
      <c r="B9" s="533"/>
      <c r="C9" s="534"/>
      <c r="D9" s="522" t="s">
        <v>685</v>
      </c>
      <c r="E9" s="523"/>
      <c r="F9" s="523"/>
      <c r="G9" s="523"/>
      <c r="H9" s="523"/>
      <c r="I9" s="523"/>
      <c r="J9" s="524"/>
    </row>
    <row r="10" spans="1:10" ht="32.25" customHeight="1" x14ac:dyDescent="0.25">
      <c r="A10" s="532" t="s">
        <v>12</v>
      </c>
      <c r="B10" s="533"/>
      <c r="C10" s="534"/>
      <c r="D10" s="522" t="s">
        <v>13</v>
      </c>
      <c r="E10" s="523"/>
      <c r="F10" s="523"/>
      <c r="G10" s="523"/>
      <c r="H10" s="523"/>
      <c r="I10" s="523"/>
      <c r="J10" s="524"/>
    </row>
    <row r="11" spans="1:10" thickBot="1" x14ac:dyDescent="0.35">
      <c r="A11" s="535" t="s">
        <v>14</v>
      </c>
      <c r="B11" s="536"/>
      <c r="C11" s="537"/>
      <c r="D11" s="538" t="s">
        <v>15</v>
      </c>
      <c r="E11" s="539"/>
      <c r="F11" s="539"/>
      <c r="G11" s="539"/>
      <c r="H11" s="539"/>
      <c r="I11" s="539"/>
      <c r="J11" s="540"/>
    </row>
    <row r="12" spans="1:10" thickBot="1" x14ac:dyDescent="0.35">
      <c r="A12" s="531"/>
      <c r="B12" s="531"/>
      <c r="C12" s="531"/>
      <c r="D12" s="531"/>
      <c r="E12" s="531"/>
      <c r="F12" s="531"/>
      <c r="G12" s="531"/>
      <c r="H12" s="531"/>
      <c r="I12" s="531"/>
      <c r="J12" s="531"/>
    </row>
    <row r="13" spans="1:10" ht="15.75" x14ac:dyDescent="0.25">
      <c r="A13" s="516" t="s">
        <v>16</v>
      </c>
      <c r="B13" s="517"/>
      <c r="C13" s="517"/>
      <c r="D13" s="517"/>
      <c r="E13" s="517"/>
      <c r="F13" s="517"/>
      <c r="G13" s="517"/>
      <c r="H13" s="517"/>
      <c r="I13" s="517"/>
      <c r="J13" s="518"/>
    </row>
    <row r="14" spans="1:10" ht="15.75" thickBot="1" x14ac:dyDescent="0.3">
      <c r="A14" s="252" t="s">
        <v>17</v>
      </c>
      <c r="B14" s="253"/>
      <c r="C14" s="254"/>
      <c r="D14" s="528" t="s">
        <v>18</v>
      </c>
      <c r="E14" s="529"/>
      <c r="F14" s="529"/>
      <c r="G14" s="529"/>
      <c r="H14" s="529"/>
      <c r="I14" s="529"/>
      <c r="J14" s="530"/>
    </row>
    <row r="15" spans="1:10" ht="14.45" x14ac:dyDescent="0.3">
      <c r="A15"/>
      <c r="B15"/>
      <c r="C15"/>
    </row>
    <row r="16" spans="1:10" ht="14.45" x14ac:dyDescent="0.3">
      <c r="D16" s="2"/>
    </row>
  </sheetData>
  <mergeCells count="21">
    <mergeCell ref="A12:J12"/>
    <mergeCell ref="A13:J13"/>
    <mergeCell ref="D14:J14"/>
    <mergeCell ref="A9:C9"/>
    <mergeCell ref="D9:J9"/>
    <mergeCell ref="A10:C10"/>
    <mergeCell ref="D10:J10"/>
    <mergeCell ref="A11:C11"/>
    <mergeCell ref="D11:J11"/>
    <mergeCell ref="A5:C5"/>
    <mergeCell ref="D5:J5"/>
    <mergeCell ref="A6:J6"/>
    <mergeCell ref="A7:J7"/>
    <mergeCell ref="A8:C8"/>
    <mergeCell ref="D8:J8"/>
    <mergeCell ref="A1:J1"/>
    <mergeCell ref="A2:C2"/>
    <mergeCell ref="D2:J2"/>
    <mergeCell ref="A3:J3"/>
    <mergeCell ref="A4:C4"/>
    <mergeCell ref="D4:J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0"/>
  <sheetViews>
    <sheetView topLeftCell="A16" zoomScaleNormal="100" workbookViewId="0">
      <selection activeCell="C126" sqref="C126:C128"/>
    </sheetView>
  </sheetViews>
  <sheetFormatPr baseColWidth="10" defaultRowHeight="15" x14ac:dyDescent="0.25"/>
  <cols>
    <col min="1" max="1" width="15.7109375" customWidth="1"/>
    <col min="2" max="2" width="58.5703125" customWidth="1"/>
    <col min="3" max="3" width="11.42578125" customWidth="1"/>
    <col min="4" max="4" width="16.7109375" style="27" bestFit="1" customWidth="1"/>
    <col min="5" max="5" width="18.42578125" style="27" bestFit="1" customWidth="1"/>
    <col min="6" max="6" width="2.28515625" style="255" customWidth="1"/>
    <col min="7" max="9" width="16.28515625" bestFit="1" customWidth="1"/>
    <col min="10" max="10" width="17.5703125" bestFit="1" customWidth="1"/>
    <col min="11" max="11" width="17.42578125" bestFit="1" customWidth="1"/>
  </cols>
  <sheetData>
    <row r="1" spans="1:9" thickBot="1" x14ac:dyDescent="0.35"/>
    <row r="2" spans="1:9" ht="28.15" thickBot="1" x14ac:dyDescent="0.35">
      <c r="A2" s="198" t="s">
        <v>228</v>
      </c>
      <c r="B2" s="198" t="s">
        <v>85</v>
      </c>
      <c r="C2" s="198" t="s">
        <v>229</v>
      </c>
      <c r="D2" s="25" t="s">
        <v>123</v>
      </c>
      <c r="E2" s="25" t="s">
        <v>230</v>
      </c>
      <c r="G2" s="25" t="s">
        <v>753</v>
      </c>
    </row>
    <row r="3" spans="1:9" ht="30.75" thickBot="1" x14ac:dyDescent="0.3">
      <c r="A3" s="550" t="s">
        <v>224</v>
      </c>
      <c r="B3" s="48" t="s">
        <v>235</v>
      </c>
      <c r="C3" s="47">
        <v>2</v>
      </c>
      <c r="D3" s="44">
        <v>35321</v>
      </c>
      <c r="E3" s="44">
        <f>D3*C3</f>
        <v>70642</v>
      </c>
      <c r="G3" s="204"/>
    </row>
    <row r="4" spans="1:9" ht="15.75" thickBot="1" x14ac:dyDescent="0.3">
      <c r="A4" s="551"/>
      <c r="B4" s="32" t="s">
        <v>237</v>
      </c>
      <c r="C4" s="15">
        <v>2</v>
      </c>
      <c r="D4" s="44">
        <v>17579</v>
      </c>
      <c r="E4" s="44">
        <f t="shared" ref="E4:E48" si="0">D4*C4</f>
        <v>35158</v>
      </c>
      <c r="G4" s="203"/>
    </row>
    <row r="5" spans="1:9" ht="15.75" thickBot="1" x14ac:dyDescent="0.3">
      <c r="A5" s="551"/>
      <c r="B5" s="32" t="s">
        <v>239</v>
      </c>
      <c r="C5" s="15">
        <v>2</v>
      </c>
      <c r="D5" s="44">
        <v>24779</v>
      </c>
      <c r="E5" s="44">
        <f t="shared" si="0"/>
        <v>49558</v>
      </c>
      <c r="G5" s="203"/>
    </row>
    <row r="6" spans="1:9" ht="15.75" thickBot="1" x14ac:dyDescent="0.3">
      <c r="A6" s="551"/>
      <c r="B6" s="32" t="s">
        <v>241</v>
      </c>
      <c r="C6" s="15">
        <v>2</v>
      </c>
      <c r="D6" s="44">
        <v>22458</v>
      </c>
      <c r="E6" s="44">
        <f t="shared" si="0"/>
        <v>44916</v>
      </c>
      <c r="G6" s="203"/>
      <c r="I6" s="42"/>
    </row>
    <row r="7" spans="1:9" ht="30.75" thickBot="1" x14ac:dyDescent="0.3">
      <c r="A7" s="551"/>
      <c r="B7" s="32" t="s">
        <v>243</v>
      </c>
      <c r="C7" s="15">
        <v>2</v>
      </c>
      <c r="D7" s="44">
        <v>63048</v>
      </c>
      <c r="E7" s="44">
        <f t="shared" si="0"/>
        <v>126096</v>
      </c>
      <c r="G7" s="203"/>
    </row>
    <row r="8" spans="1:9" ht="30.75" thickBot="1" x14ac:dyDescent="0.3">
      <c r="A8" s="551"/>
      <c r="B8" s="32" t="s">
        <v>245</v>
      </c>
      <c r="C8" s="15">
        <v>2</v>
      </c>
      <c r="D8" s="44">
        <v>81814</v>
      </c>
      <c r="E8" s="44">
        <f t="shared" si="0"/>
        <v>163628</v>
      </c>
      <c r="G8" s="203"/>
    </row>
    <row r="9" spans="1:9" ht="15.75" thickBot="1" x14ac:dyDescent="0.3">
      <c r="A9" s="551"/>
      <c r="B9" s="32" t="s">
        <v>247</v>
      </c>
      <c r="C9" s="15">
        <v>16</v>
      </c>
      <c r="D9" s="44">
        <v>141</v>
      </c>
      <c r="E9" s="44">
        <f t="shared" si="0"/>
        <v>2256</v>
      </c>
      <c r="G9" s="203"/>
    </row>
    <row r="10" spans="1:9" ht="15.75" thickBot="1" x14ac:dyDescent="0.3">
      <c r="A10" s="551"/>
      <c r="B10" s="32" t="s">
        <v>249</v>
      </c>
      <c r="C10" s="15">
        <v>16</v>
      </c>
      <c r="D10" s="44">
        <v>6243</v>
      </c>
      <c r="E10" s="44">
        <f t="shared" si="0"/>
        <v>99888</v>
      </c>
      <c r="G10" s="203"/>
    </row>
    <row r="11" spans="1:9" ht="15.75" thickBot="1" x14ac:dyDescent="0.3">
      <c r="A11" s="551"/>
      <c r="B11" s="32" t="s">
        <v>251</v>
      </c>
      <c r="C11" s="15">
        <v>10</v>
      </c>
      <c r="D11" s="44">
        <v>6877</v>
      </c>
      <c r="E11" s="44">
        <f t="shared" si="0"/>
        <v>68770</v>
      </c>
      <c r="G11" s="203"/>
    </row>
    <row r="12" spans="1:9" ht="15.75" thickBot="1" x14ac:dyDescent="0.3">
      <c r="A12" s="551"/>
      <c r="B12" s="32" t="s">
        <v>688</v>
      </c>
      <c r="C12" s="15">
        <v>10</v>
      </c>
      <c r="D12" s="44">
        <v>4929</v>
      </c>
      <c r="E12" s="44">
        <f t="shared" si="0"/>
        <v>49290</v>
      </c>
      <c r="G12" s="203"/>
    </row>
    <row r="13" spans="1:9" ht="15.75" thickBot="1" x14ac:dyDescent="0.3">
      <c r="A13" s="551"/>
      <c r="B13" s="32" t="s">
        <v>689</v>
      </c>
      <c r="C13" s="15">
        <v>3</v>
      </c>
      <c r="D13" s="44">
        <v>3450</v>
      </c>
      <c r="E13" s="44">
        <f t="shared" si="0"/>
        <v>10350</v>
      </c>
      <c r="G13" s="203"/>
    </row>
    <row r="14" spans="1:9" ht="15.75" thickBot="1" x14ac:dyDescent="0.3">
      <c r="A14" s="551"/>
      <c r="B14" s="32" t="s">
        <v>690</v>
      </c>
      <c r="C14" s="15">
        <v>2</v>
      </c>
      <c r="D14" s="44">
        <v>821</v>
      </c>
      <c r="E14" s="44">
        <f t="shared" si="0"/>
        <v>1642</v>
      </c>
      <c r="G14" s="203"/>
    </row>
    <row r="15" spans="1:9" ht="15.75" thickBot="1" x14ac:dyDescent="0.3">
      <c r="A15" s="551"/>
      <c r="B15" s="32" t="s">
        <v>691</v>
      </c>
      <c r="C15" s="15">
        <v>3</v>
      </c>
      <c r="D15" s="44">
        <v>1314</v>
      </c>
      <c r="E15" s="44">
        <f t="shared" si="0"/>
        <v>3942</v>
      </c>
      <c r="G15" s="203"/>
    </row>
    <row r="16" spans="1:9" ht="15.75" thickBot="1" x14ac:dyDescent="0.3">
      <c r="A16" s="551"/>
      <c r="B16" s="32" t="s">
        <v>253</v>
      </c>
      <c r="C16" s="15">
        <v>2</v>
      </c>
      <c r="D16" s="44">
        <v>27035</v>
      </c>
      <c r="E16" s="44">
        <f t="shared" si="0"/>
        <v>54070</v>
      </c>
      <c r="G16" s="203"/>
    </row>
    <row r="17" spans="1:7" ht="15.75" thickBot="1" x14ac:dyDescent="0.3">
      <c r="A17" s="551"/>
      <c r="B17" s="32" t="s">
        <v>255</v>
      </c>
      <c r="C17" s="15">
        <v>4</v>
      </c>
      <c r="D17" s="44">
        <v>421</v>
      </c>
      <c r="E17" s="44">
        <f t="shared" si="0"/>
        <v>1684</v>
      </c>
      <c r="G17" s="203"/>
    </row>
    <row r="18" spans="1:7" ht="15.75" thickBot="1" x14ac:dyDescent="0.3">
      <c r="A18" s="551"/>
      <c r="B18" s="32" t="s">
        <v>692</v>
      </c>
      <c r="C18" s="15">
        <v>1</v>
      </c>
      <c r="D18" s="44">
        <v>34500</v>
      </c>
      <c r="E18" s="44">
        <f t="shared" si="0"/>
        <v>34500</v>
      </c>
      <c r="G18" s="203"/>
    </row>
    <row r="19" spans="1:7" ht="15.75" thickBot="1" x14ac:dyDescent="0.3">
      <c r="A19" s="551"/>
      <c r="B19" s="32" t="s">
        <v>258</v>
      </c>
      <c r="C19" s="15">
        <v>2</v>
      </c>
      <c r="D19" s="44">
        <v>27984</v>
      </c>
      <c r="E19" s="44">
        <f t="shared" si="0"/>
        <v>55968</v>
      </c>
      <c r="G19" s="203"/>
    </row>
    <row r="20" spans="1:7" ht="15.75" thickBot="1" x14ac:dyDescent="0.3">
      <c r="A20" s="551"/>
      <c r="B20" s="32" t="s">
        <v>260</v>
      </c>
      <c r="C20" s="15">
        <v>14</v>
      </c>
      <c r="D20" s="44">
        <v>1655</v>
      </c>
      <c r="E20" s="44">
        <f t="shared" si="0"/>
        <v>23170</v>
      </c>
      <c r="G20" s="203"/>
    </row>
    <row r="21" spans="1:7" ht="15.75" thickBot="1" x14ac:dyDescent="0.3">
      <c r="A21" s="551"/>
      <c r="B21" s="32" t="s">
        <v>262</v>
      </c>
      <c r="C21" s="15">
        <v>2</v>
      </c>
      <c r="D21" s="44">
        <v>11477</v>
      </c>
      <c r="E21" s="44">
        <f t="shared" si="0"/>
        <v>22954</v>
      </c>
      <c r="G21" s="203"/>
    </row>
    <row r="22" spans="1:7" ht="15.75" thickBot="1" x14ac:dyDescent="0.3">
      <c r="A22" s="551"/>
      <c r="B22" s="32" t="s">
        <v>264</v>
      </c>
      <c r="C22" s="15">
        <v>1</v>
      </c>
      <c r="D22" s="44">
        <v>44356</v>
      </c>
      <c r="E22" s="44">
        <f t="shared" si="0"/>
        <v>44356</v>
      </c>
      <c r="G22" s="203"/>
    </row>
    <row r="23" spans="1:7" ht="15.75" thickBot="1" x14ac:dyDescent="0.3">
      <c r="A23" s="551"/>
      <c r="B23" s="32" t="s">
        <v>266</v>
      </c>
      <c r="C23" s="15">
        <v>36</v>
      </c>
      <c r="D23" s="44">
        <v>107</v>
      </c>
      <c r="E23" s="44">
        <f t="shared" si="0"/>
        <v>3852</v>
      </c>
      <c r="G23" s="203"/>
    </row>
    <row r="24" spans="1:7" ht="15.75" thickBot="1" x14ac:dyDescent="0.3">
      <c r="A24" s="551"/>
      <c r="B24" s="32" t="s">
        <v>268</v>
      </c>
      <c r="C24" s="15">
        <v>13</v>
      </c>
      <c r="D24" s="44">
        <v>1484</v>
      </c>
      <c r="E24" s="44">
        <f t="shared" si="0"/>
        <v>19292</v>
      </c>
      <c r="G24" s="203"/>
    </row>
    <row r="25" spans="1:7" ht="15.75" thickBot="1" x14ac:dyDescent="0.3">
      <c r="A25" s="551"/>
      <c r="B25" s="32" t="s">
        <v>269</v>
      </c>
      <c r="C25" s="15">
        <v>2</v>
      </c>
      <c r="D25" s="44">
        <v>312143</v>
      </c>
      <c r="E25" s="44">
        <f t="shared" si="0"/>
        <v>624286</v>
      </c>
      <c r="G25" s="203"/>
    </row>
    <row r="26" spans="1:7" ht="15.75" thickBot="1" x14ac:dyDescent="0.3">
      <c r="A26" s="551"/>
      <c r="B26" s="32" t="s">
        <v>693</v>
      </c>
      <c r="C26" s="15">
        <v>2</v>
      </c>
      <c r="D26" s="44">
        <v>17579</v>
      </c>
      <c r="E26" s="44">
        <f t="shared" si="0"/>
        <v>35158</v>
      </c>
      <c r="G26" s="203"/>
    </row>
    <row r="27" spans="1:7" ht="15.75" thickBot="1" x14ac:dyDescent="0.3">
      <c r="A27" s="551"/>
      <c r="B27" s="32" t="s">
        <v>694</v>
      </c>
      <c r="C27" s="15">
        <v>1</v>
      </c>
      <c r="D27" s="44">
        <v>68138</v>
      </c>
      <c r="E27" s="44">
        <f t="shared" si="0"/>
        <v>68138</v>
      </c>
      <c r="G27" s="203"/>
    </row>
    <row r="28" spans="1:7" ht="15.75" thickBot="1" x14ac:dyDescent="0.3">
      <c r="A28" s="551"/>
      <c r="B28" s="32" t="s">
        <v>695</v>
      </c>
      <c r="C28" s="15">
        <v>11</v>
      </c>
      <c r="D28" s="44">
        <v>47779</v>
      </c>
      <c r="E28" s="44">
        <f t="shared" si="0"/>
        <v>525569</v>
      </c>
      <c r="G28" s="203"/>
    </row>
    <row r="29" spans="1:7" ht="15.75" thickBot="1" x14ac:dyDescent="0.3">
      <c r="A29" s="551"/>
      <c r="B29" s="32" t="s">
        <v>696</v>
      </c>
      <c r="C29" s="15">
        <v>4</v>
      </c>
      <c r="D29" s="44">
        <v>40845</v>
      </c>
      <c r="E29" s="44">
        <f t="shared" si="0"/>
        <v>163380</v>
      </c>
      <c r="G29" s="203"/>
    </row>
    <row r="30" spans="1:7" ht="15.75" thickBot="1" x14ac:dyDescent="0.3">
      <c r="A30" s="551"/>
      <c r="B30" s="32" t="s">
        <v>697</v>
      </c>
      <c r="C30" s="15">
        <v>152</v>
      </c>
      <c r="D30" s="44">
        <v>16636</v>
      </c>
      <c r="E30" s="44">
        <f t="shared" si="0"/>
        <v>2528672</v>
      </c>
      <c r="G30" s="203"/>
    </row>
    <row r="31" spans="1:7" ht="15.75" thickBot="1" x14ac:dyDescent="0.3">
      <c r="A31" s="551"/>
      <c r="B31" s="32" t="s">
        <v>698</v>
      </c>
      <c r="C31" s="15">
        <v>142</v>
      </c>
      <c r="D31" s="44">
        <v>1396</v>
      </c>
      <c r="E31" s="44">
        <f t="shared" si="0"/>
        <v>198232</v>
      </c>
      <c r="G31" s="203"/>
    </row>
    <row r="32" spans="1:7" ht="15.75" thickBot="1" x14ac:dyDescent="0.3">
      <c r="A32" s="551"/>
      <c r="B32" s="32" t="s">
        <v>282</v>
      </c>
      <c r="C32" s="15">
        <v>10</v>
      </c>
      <c r="D32" s="44">
        <v>5231</v>
      </c>
      <c r="E32" s="44">
        <f t="shared" si="0"/>
        <v>52310</v>
      </c>
      <c r="G32" s="203"/>
    </row>
    <row r="33" spans="1:7" ht="15.75" thickBot="1" x14ac:dyDescent="0.3">
      <c r="A33" s="551"/>
      <c r="B33" s="32" t="s">
        <v>284</v>
      </c>
      <c r="C33" s="15">
        <v>13</v>
      </c>
      <c r="D33" s="44">
        <v>3641</v>
      </c>
      <c r="E33" s="44">
        <f t="shared" si="0"/>
        <v>47333</v>
      </c>
      <c r="G33" s="203"/>
    </row>
    <row r="34" spans="1:7" ht="15.75" thickBot="1" x14ac:dyDescent="0.3">
      <c r="A34" s="551"/>
      <c r="B34" s="32" t="s">
        <v>699</v>
      </c>
      <c r="C34" s="15">
        <v>1</v>
      </c>
      <c r="D34" s="44">
        <v>259243</v>
      </c>
      <c r="E34" s="44">
        <f t="shared" si="0"/>
        <v>259243</v>
      </c>
      <c r="G34" s="203"/>
    </row>
    <row r="35" spans="1:7" ht="15.75" thickBot="1" x14ac:dyDescent="0.3">
      <c r="A35" s="551"/>
      <c r="B35" s="32" t="s">
        <v>287</v>
      </c>
      <c r="C35" s="15">
        <v>2</v>
      </c>
      <c r="D35" s="44">
        <v>123893</v>
      </c>
      <c r="E35" s="44">
        <f t="shared" si="0"/>
        <v>247786</v>
      </c>
      <c r="G35" s="203"/>
    </row>
    <row r="36" spans="1:7" ht="15.75" thickBot="1" x14ac:dyDescent="0.3">
      <c r="A36" s="551"/>
      <c r="B36" s="32" t="s">
        <v>289</v>
      </c>
      <c r="C36" s="15">
        <v>10</v>
      </c>
      <c r="D36" s="44">
        <v>57181</v>
      </c>
      <c r="E36" s="44">
        <f t="shared" si="0"/>
        <v>571810</v>
      </c>
      <c r="G36" s="203"/>
    </row>
    <row r="37" spans="1:7" ht="15.75" thickBot="1" x14ac:dyDescent="0.3">
      <c r="A37" s="551"/>
      <c r="B37" s="32" t="s">
        <v>700</v>
      </c>
      <c r="C37" s="15">
        <v>2</v>
      </c>
      <c r="D37" s="44">
        <v>37378</v>
      </c>
      <c r="E37" s="44">
        <f t="shared" si="0"/>
        <v>74756</v>
      </c>
      <c r="G37" s="203"/>
    </row>
    <row r="38" spans="1:7" ht="15.75" thickBot="1" x14ac:dyDescent="0.3">
      <c r="A38" s="551"/>
      <c r="B38" s="32" t="s">
        <v>701</v>
      </c>
      <c r="C38" s="15">
        <v>2</v>
      </c>
      <c r="D38" s="44">
        <v>11171</v>
      </c>
      <c r="E38" s="44">
        <f t="shared" si="0"/>
        <v>22342</v>
      </c>
      <c r="G38" s="203"/>
    </row>
    <row r="39" spans="1:7" ht="15.75" thickBot="1" x14ac:dyDescent="0.3">
      <c r="A39" s="551"/>
      <c r="B39" s="32" t="s">
        <v>292</v>
      </c>
      <c r="C39" s="15">
        <v>2</v>
      </c>
      <c r="D39" s="44">
        <v>29368</v>
      </c>
      <c r="E39" s="44">
        <f t="shared" si="0"/>
        <v>58736</v>
      </c>
      <c r="G39" s="203"/>
    </row>
    <row r="40" spans="1:7" ht="15.75" thickBot="1" x14ac:dyDescent="0.3">
      <c r="A40" s="551"/>
      <c r="B40" s="32" t="s">
        <v>294</v>
      </c>
      <c r="C40" s="15">
        <v>1</v>
      </c>
      <c r="D40" s="44">
        <v>26082</v>
      </c>
      <c r="E40" s="44">
        <f t="shared" si="0"/>
        <v>26082</v>
      </c>
      <c r="G40" s="203"/>
    </row>
    <row r="41" spans="1:7" ht="15.75" thickBot="1" x14ac:dyDescent="0.3">
      <c r="A41" s="551"/>
      <c r="B41" s="32" t="s">
        <v>296</v>
      </c>
      <c r="C41" s="15">
        <v>10</v>
      </c>
      <c r="D41" s="44">
        <v>44012</v>
      </c>
      <c r="E41" s="44">
        <f t="shared" si="0"/>
        <v>440120</v>
      </c>
      <c r="G41" s="203"/>
    </row>
    <row r="42" spans="1:7" ht="15.75" thickBot="1" x14ac:dyDescent="0.3">
      <c r="A42" s="551"/>
      <c r="B42" s="32" t="s">
        <v>299</v>
      </c>
      <c r="C42" s="15">
        <v>2</v>
      </c>
      <c r="D42" s="44">
        <v>25629</v>
      </c>
      <c r="E42" s="44">
        <f t="shared" si="0"/>
        <v>51258</v>
      </c>
      <c r="G42" s="203"/>
    </row>
    <row r="43" spans="1:7" ht="15.75" thickBot="1" x14ac:dyDescent="0.3">
      <c r="A43" s="551"/>
      <c r="B43" s="32" t="s">
        <v>702</v>
      </c>
      <c r="C43" s="15">
        <v>3</v>
      </c>
      <c r="D43" s="44">
        <v>15771</v>
      </c>
      <c r="E43" s="44">
        <f t="shared" si="0"/>
        <v>47313</v>
      </c>
      <c r="G43" s="203"/>
    </row>
    <row r="44" spans="1:7" ht="15.75" thickBot="1" x14ac:dyDescent="0.3">
      <c r="A44" s="551"/>
      <c r="B44" s="32" t="s">
        <v>703</v>
      </c>
      <c r="C44" s="15">
        <v>3</v>
      </c>
      <c r="D44" s="44">
        <v>9834</v>
      </c>
      <c r="E44" s="44">
        <f t="shared" si="0"/>
        <v>29502</v>
      </c>
      <c r="G44" s="203"/>
    </row>
    <row r="45" spans="1:7" ht="15.75" thickBot="1" x14ac:dyDescent="0.3">
      <c r="A45" s="551"/>
      <c r="B45" s="32" t="s">
        <v>301</v>
      </c>
      <c r="C45" s="15">
        <v>3</v>
      </c>
      <c r="D45" s="44">
        <v>2744</v>
      </c>
      <c r="E45" s="44">
        <f t="shared" si="0"/>
        <v>8232</v>
      </c>
      <c r="G45" s="203"/>
    </row>
    <row r="46" spans="1:7" ht="15.75" thickBot="1" x14ac:dyDescent="0.3">
      <c r="A46" s="551"/>
      <c r="B46" s="32" t="s">
        <v>303</v>
      </c>
      <c r="C46" s="15">
        <v>2</v>
      </c>
      <c r="D46" s="44">
        <v>71054</v>
      </c>
      <c r="E46" s="44">
        <f t="shared" si="0"/>
        <v>142108</v>
      </c>
      <c r="G46" s="203"/>
    </row>
    <row r="47" spans="1:7" ht="15.75" thickBot="1" x14ac:dyDescent="0.3">
      <c r="A47" s="551"/>
      <c r="B47" s="32" t="s">
        <v>305</v>
      </c>
      <c r="C47" s="15">
        <v>2</v>
      </c>
      <c r="D47" s="44">
        <v>80516</v>
      </c>
      <c r="E47" s="44">
        <f t="shared" si="0"/>
        <v>161032</v>
      </c>
      <c r="G47" s="203"/>
    </row>
    <row r="48" spans="1:7" ht="15.75" thickBot="1" x14ac:dyDescent="0.3">
      <c r="A48" s="552"/>
      <c r="B48" s="57" t="s">
        <v>704</v>
      </c>
      <c r="C48" s="51">
        <v>1</v>
      </c>
      <c r="D48" s="44">
        <v>670956</v>
      </c>
      <c r="E48" s="44">
        <f t="shared" si="0"/>
        <v>670956</v>
      </c>
      <c r="G48" s="205"/>
    </row>
    <row r="49" spans="1:7" ht="17.25" thickBot="1" x14ac:dyDescent="0.3">
      <c r="A49" s="112"/>
      <c r="B49" s="112" t="s">
        <v>308</v>
      </c>
      <c r="C49" s="112"/>
      <c r="D49" s="201"/>
      <c r="E49" s="201">
        <f>SUM(E3:E48)</f>
        <v>8040336</v>
      </c>
      <c r="G49" s="201"/>
    </row>
    <row r="50" spans="1:7" x14ac:dyDescent="0.25">
      <c r="G50" s="27"/>
    </row>
    <row r="51" spans="1:7" x14ac:dyDescent="0.25">
      <c r="G51" s="27"/>
    </row>
    <row r="52" spans="1:7" ht="15.75" thickBot="1" x14ac:dyDescent="0.3">
      <c r="G52" s="27"/>
    </row>
    <row r="53" spans="1:7" ht="33.75" thickBot="1" x14ac:dyDescent="0.3">
      <c r="A53" s="198" t="s">
        <v>228</v>
      </c>
      <c r="B53" s="112" t="s">
        <v>85</v>
      </c>
      <c r="C53" s="198" t="s">
        <v>229</v>
      </c>
      <c r="D53" s="25" t="s">
        <v>123</v>
      </c>
      <c r="E53" s="25" t="s">
        <v>230</v>
      </c>
      <c r="G53" s="25"/>
    </row>
    <row r="54" spans="1:7" ht="15.75" thickBot="1" x14ac:dyDescent="0.3">
      <c r="A54" s="553" t="s">
        <v>309</v>
      </c>
      <c r="B54" s="199" t="s">
        <v>705</v>
      </c>
      <c r="C54" s="47">
        <v>65</v>
      </c>
      <c r="D54" s="44">
        <v>3150</v>
      </c>
      <c r="E54" s="44">
        <f t="shared" ref="E54:E108" si="1">D54*C54</f>
        <v>204750</v>
      </c>
      <c r="G54" s="204"/>
    </row>
    <row r="55" spans="1:7" ht="15.75" thickBot="1" x14ac:dyDescent="0.3">
      <c r="A55" s="554"/>
      <c r="B55" s="32" t="s">
        <v>706</v>
      </c>
      <c r="C55" s="15">
        <v>1100</v>
      </c>
      <c r="D55" s="44">
        <v>36.96</v>
      </c>
      <c r="E55" s="44">
        <f t="shared" si="1"/>
        <v>40656</v>
      </c>
      <c r="G55" s="203"/>
    </row>
    <row r="56" spans="1:7" ht="30.75" thickBot="1" x14ac:dyDescent="0.3">
      <c r="A56" s="554"/>
      <c r="B56" s="32" t="s">
        <v>313</v>
      </c>
      <c r="C56" s="15">
        <v>42</v>
      </c>
      <c r="D56" s="44">
        <v>739</v>
      </c>
      <c r="E56" s="44">
        <f t="shared" si="1"/>
        <v>31038</v>
      </c>
      <c r="G56" s="203"/>
    </row>
    <row r="57" spans="1:7" ht="15.75" thickBot="1" x14ac:dyDescent="0.3">
      <c r="A57" s="554"/>
      <c r="B57" s="32" t="s">
        <v>315</v>
      </c>
      <c r="C57" s="15">
        <v>84</v>
      </c>
      <c r="D57" s="44">
        <v>2300</v>
      </c>
      <c r="E57" s="44">
        <f t="shared" si="1"/>
        <v>193200</v>
      </c>
      <c r="G57" s="203"/>
    </row>
    <row r="58" spans="1:7" ht="15.75" thickBot="1" x14ac:dyDescent="0.3">
      <c r="A58" s="554"/>
      <c r="B58" s="32" t="s">
        <v>93</v>
      </c>
      <c r="C58" s="15">
        <v>125</v>
      </c>
      <c r="D58" s="44">
        <v>1690</v>
      </c>
      <c r="E58" s="44">
        <f t="shared" si="1"/>
        <v>211250</v>
      </c>
      <c r="G58" s="203"/>
    </row>
    <row r="59" spans="1:7" ht="15.75" thickBot="1" x14ac:dyDescent="0.3">
      <c r="A59" s="554"/>
      <c r="B59" s="32" t="s">
        <v>91</v>
      </c>
      <c r="C59" s="15">
        <v>140</v>
      </c>
      <c r="D59" s="44">
        <v>13300</v>
      </c>
      <c r="E59" s="44">
        <f t="shared" si="1"/>
        <v>1862000</v>
      </c>
      <c r="G59" s="203"/>
    </row>
    <row r="60" spans="1:7" ht="15.75" thickBot="1" x14ac:dyDescent="0.3">
      <c r="A60" s="554"/>
      <c r="B60" s="32" t="s">
        <v>317</v>
      </c>
      <c r="C60" s="15">
        <v>42</v>
      </c>
      <c r="D60" s="44">
        <v>314</v>
      </c>
      <c r="E60" s="44">
        <f t="shared" si="1"/>
        <v>13188</v>
      </c>
      <c r="G60" s="30"/>
    </row>
    <row r="61" spans="1:7" ht="15.75" thickBot="1" x14ac:dyDescent="0.3">
      <c r="A61" s="554"/>
      <c r="B61" s="32" t="s">
        <v>319</v>
      </c>
      <c r="C61" s="15">
        <v>70</v>
      </c>
      <c r="D61" s="44">
        <v>139.66999999999999</v>
      </c>
      <c r="E61" s="44">
        <f t="shared" si="1"/>
        <v>9776.9</v>
      </c>
      <c r="G61" s="203"/>
    </row>
    <row r="62" spans="1:7" ht="15.75" thickBot="1" x14ac:dyDescent="0.3">
      <c r="A62" s="554"/>
      <c r="B62" s="32" t="s">
        <v>321</v>
      </c>
      <c r="C62" s="15">
        <v>165</v>
      </c>
      <c r="D62" s="44">
        <v>315</v>
      </c>
      <c r="E62" s="44">
        <f t="shared" si="1"/>
        <v>51975</v>
      </c>
      <c r="G62" s="203"/>
    </row>
    <row r="63" spans="1:7" ht="15.75" thickBot="1" x14ac:dyDescent="0.3">
      <c r="A63" s="554"/>
      <c r="B63" s="32" t="s">
        <v>323</v>
      </c>
      <c r="C63" s="15">
        <v>6</v>
      </c>
      <c r="D63" s="44">
        <v>250</v>
      </c>
      <c r="E63" s="44">
        <f t="shared" si="1"/>
        <v>1500</v>
      </c>
      <c r="G63" s="203"/>
    </row>
    <row r="64" spans="1:7" ht="15.75" thickBot="1" x14ac:dyDescent="0.3">
      <c r="A64" s="554"/>
      <c r="B64" s="32" t="s">
        <v>707</v>
      </c>
      <c r="C64" s="15">
        <v>21</v>
      </c>
      <c r="D64" s="44">
        <v>1495</v>
      </c>
      <c r="E64" s="44">
        <f t="shared" si="1"/>
        <v>31395</v>
      </c>
      <c r="G64" s="30"/>
    </row>
    <row r="65" spans="1:7" ht="15.75" thickBot="1" x14ac:dyDescent="0.3">
      <c r="A65" s="554"/>
      <c r="B65" s="32" t="s">
        <v>708</v>
      </c>
      <c r="C65" s="15">
        <v>4</v>
      </c>
      <c r="D65" s="44">
        <v>18118</v>
      </c>
      <c r="E65" s="44">
        <f t="shared" si="1"/>
        <v>72472</v>
      </c>
      <c r="G65" s="30"/>
    </row>
    <row r="66" spans="1:7" ht="15.75" thickBot="1" x14ac:dyDescent="0.3">
      <c r="A66" s="554"/>
      <c r="B66" s="32" t="s">
        <v>325</v>
      </c>
      <c r="C66" s="15">
        <v>4</v>
      </c>
      <c r="D66" s="44">
        <v>34</v>
      </c>
      <c r="E66" s="44">
        <f t="shared" si="1"/>
        <v>136</v>
      </c>
      <c r="G66" s="30"/>
    </row>
    <row r="67" spans="1:7" ht="15.75" thickBot="1" x14ac:dyDescent="0.3">
      <c r="A67" s="554"/>
      <c r="B67" s="32" t="s">
        <v>327</v>
      </c>
      <c r="C67" s="15">
        <v>10</v>
      </c>
      <c r="D67" s="44">
        <v>2800</v>
      </c>
      <c r="E67" s="44">
        <f t="shared" si="1"/>
        <v>28000</v>
      </c>
      <c r="G67" s="203"/>
    </row>
    <row r="68" spans="1:7" ht="15.75" thickBot="1" x14ac:dyDescent="0.3">
      <c r="A68" s="554"/>
      <c r="B68" s="32" t="s">
        <v>329</v>
      </c>
      <c r="C68" s="15">
        <v>20</v>
      </c>
      <c r="D68" s="44">
        <v>2500</v>
      </c>
      <c r="E68" s="44">
        <f t="shared" si="1"/>
        <v>50000</v>
      </c>
      <c r="G68" s="30"/>
    </row>
    <row r="69" spans="1:7" ht="15.75" thickBot="1" x14ac:dyDescent="0.3">
      <c r="A69" s="554"/>
      <c r="B69" s="32" t="s">
        <v>331</v>
      </c>
      <c r="C69" s="15">
        <v>56</v>
      </c>
      <c r="D69" s="44">
        <v>712</v>
      </c>
      <c r="E69" s="44">
        <f t="shared" si="1"/>
        <v>39872</v>
      </c>
      <c r="G69" s="203"/>
    </row>
    <row r="70" spans="1:7" ht="15.75" thickBot="1" x14ac:dyDescent="0.3">
      <c r="A70" s="554"/>
      <c r="B70" s="32" t="s">
        <v>89</v>
      </c>
      <c r="C70" s="15">
        <v>28</v>
      </c>
      <c r="D70" s="44">
        <v>52896</v>
      </c>
      <c r="E70" s="44">
        <f t="shared" si="1"/>
        <v>1481088</v>
      </c>
      <c r="G70" s="30"/>
    </row>
    <row r="71" spans="1:7" ht="15.75" thickBot="1" x14ac:dyDescent="0.3">
      <c r="A71" s="554"/>
      <c r="B71" s="32" t="s">
        <v>334</v>
      </c>
      <c r="C71" s="15">
        <v>10</v>
      </c>
      <c r="D71" s="44">
        <v>2156</v>
      </c>
      <c r="E71" s="44">
        <f t="shared" si="1"/>
        <v>21560</v>
      </c>
      <c r="G71" s="30"/>
    </row>
    <row r="72" spans="1:7" ht="15.75" thickBot="1" x14ac:dyDescent="0.3">
      <c r="A72" s="554"/>
      <c r="B72" s="32" t="s">
        <v>336</v>
      </c>
      <c r="C72" s="15">
        <v>26</v>
      </c>
      <c r="D72" s="44">
        <v>340.34</v>
      </c>
      <c r="E72" s="44">
        <f t="shared" si="1"/>
        <v>8848.84</v>
      </c>
      <c r="G72" s="203"/>
    </row>
    <row r="73" spans="1:7" ht="15.75" thickBot="1" x14ac:dyDescent="0.3">
      <c r="A73" s="554"/>
      <c r="B73" s="32" t="s">
        <v>338</v>
      </c>
      <c r="C73" s="15">
        <v>56</v>
      </c>
      <c r="D73" s="44">
        <v>119.36</v>
      </c>
      <c r="E73" s="44">
        <f t="shared" si="1"/>
        <v>6684.16</v>
      </c>
      <c r="G73" s="203"/>
    </row>
    <row r="74" spans="1:7" ht="15.75" thickBot="1" x14ac:dyDescent="0.3">
      <c r="A74" s="554"/>
      <c r="B74" s="32" t="s">
        <v>340</v>
      </c>
      <c r="C74" s="15">
        <v>8</v>
      </c>
      <c r="D74" s="44">
        <v>35.51</v>
      </c>
      <c r="E74" s="44">
        <f t="shared" si="1"/>
        <v>284.08</v>
      </c>
      <c r="G74" s="203"/>
    </row>
    <row r="75" spans="1:7" ht="15.75" thickBot="1" x14ac:dyDescent="0.3">
      <c r="A75" s="554"/>
      <c r="B75" s="32" t="s">
        <v>342</v>
      </c>
      <c r="C75" s="15">
        <v>24</v>
      </c>
      <c r="D75" s="44">
        <v>313</v>
      </c>
      <c r="E75" s="44">
        <f t="shared" si="1"/>
        <v>7512</v>
      </c>
      <c r="G75" s="30"/>
    </row>
    <row r="76" spans="1:7" ht="15.75" thickBot="1" x14ac:dyDescent="0.3">
      <c r="A76" s="554"/>
      <c r="B76" s="32" t="s">
        <v>344</v>
      </c>
      <c r="C76" s="15">
        <v>24</v>
      </c>
      <c r="D76" s="44">
        <v>198.21</v>
      </c>
      <c r="E76" s="44">
        <f t="shared" si="1"/>
        <v>4757.04</v>
      </c>
      <c r="G76" s="203"/>
    </row>
    <row r="77" spans="1:7" ht="15.75" thickBot="1" x14ac:dyDescent="0.3">
      <c r="A77" s="554"/>
      <c r="B77" s="32" t="s">
        <v>346</v>
      </c>
      <c r="C77" s="20">
        <v>28</v>
      </c>
      <c r="D77" s="44">
        <v>660.47</v>
      </c>
      <c r="E77" s="44">
        <f t="shared" si="1"/>
        <v>18493.16</v>
      </c>
      <c r="G77" s="203"/>
    </row>
    <row r="78" spans="1:7" ht="15.75" thickBot="1" x14ac:dyDescent="0.3">
      <c r="A78" s="554"/>
      <c r="B78" s="32" t="s">
        <v>348</v>
      </c>
      <c r="C78" s="20">
        <v>56</v>
      </c>
      <c r="D78" s="44">
        <v>27.57</v>
      </c>
      <c r="E78" s="44">
        <f t="shared" si="1"/>
        <v>1543.92</v>
      </c>
      <c r="G78" s="203"/>
    </row>
    <row r="79" spans="1:7" ht="15.75" thickBot="1" x14ac:dyDescent="0.3">
      <c r="A79" s="554"/>
      <c r="B79" s="32" t="s">
        <v>350</v>
      </c>
      <c r="C79" s="20">
        <v>12</v>
      </c>
      <c r="D79" s="44">
        <f>99647/650</f>
        <v>153.30307692307693</v>
      </c>
      <c r="E79" s="44">
        <f t="shared" si="1"/>
        <v>1839.6369230769233</v>
      </c>
      <c r="G79" s="203"/>
    </row>
    <row r="80" spans="1:7" ht="15.75" thickBot="1" x14ac:dyDescent="0.3">
      <c r="A80" s="554"/>
      <c r="B80" s="32" t="s">
        <v>352</v>
      </c>
      <c r="C80" s="20">
        <v>8</v>
      </c>
      <c r="D80" s="44">
        <f>99647/650</f>
        <v>153.30307692307693</v>
      </c>
      <c r="E80" s="44">
        <f t="shared" si="1"/>
        <v>1226.4246153846154</v>
      </c>
      <c r="G80" s="203"/>
    </row>
    <row r="81" spans="1:7" ht="15.75" thickBot="1" x14ac:dyDescent="0.3">
      <c r="A81" s="554"/>
      <c r="B81" s="32" t="s">
        <v>354</v>
      </c>
      <c r="C81" s="20">
        <v>4</v>
      </c>
      <c r="D81" s="44">
        <v>3218</v>
      </c>
      <c r="E81" s="44">
        <f t="shared" si="1"/>
        <v>12872</v>
      </c>
      <c r="G81" s="202"/>
    </row>
    <row r="82" spans="1:7" ht="15.75" thickBot="1" x14ac:dyDescent="0.3">
      <c r="A82" s="554"/>
      <c r="B82" s="32" t="s">
        <v>356</v>
      </c>
      <c r="C82" s="20">
        <v>56</v>
      </c>
      <c r="D82" s="44">
        <v>64.36</v>
      </c>
      <c r="E82" s="44">
        <f t="shared" si="1"/>
        <v>3604.16</v>
      </c>
      <c r="G82" s="203"/>
    </row>
    <row r="83" spans="1:7" ht="15.75" thickBot="1" x14ac:dyDescent="0.3">
      <c r="A83" s="554"/>
      <c r="B83" s="32" t="s">
        <v>386</v>
      </c>
      <c r="C83" s="20">
        <v>56</v>
      </c>
      <c r="D83" s="44">
        <v>21.77</v>
      </c>
      <c r="E83" s="44">
        <f t="shared" si="1"/>
        <v>1219.1199999999999</v>
      </c>
      <c r="G83" s="203"/>
    </row>
    <row r="84" spans="1:7" ht="15.75" thickBot="1" x14ac:dyDescent="0.3">
      <c r="A84" s="554"/>
      <c r="B84" s="32" t="s">
        <v>388</v>
      </c>
      <c r="C84" s="20">
        <v>56</v>
      </c>
      <c r="D84" s="44">
        <v>13.49</v>
      </c>
      <c r="E84" s="44">
        <f t="shared" si="1"/>
        <v>755.44</v>
      </c>
      <c r="G84" s="203"/>
    </row>
    <row r="85" spans="1:7" ht="15.75" thickBot="1" x14ac:dyDescent="0.3">
      <c r="A85" s="554"/>
      <c r="B85" s="32" t="s">
        <v>358</v>
      </c>
      <c r="C85" s="20">
        <v>320</v>
      </c>
      <c r="D85" s="44">
        <f>99647/650</f>
        <v>153.30307692307693</v>
      </c>
      <c r="E85" s="44">
        <f t="shared" si="1"/>
        <v>49056.984615384616</v>
      </c>
      <c r="G85" s="203"/>
    </row>
    <row r="86" spans="1:7" ht="15.75" thickBot="1" x14ac:dyDescent="0.3">
      <c r="A86" s="554"/>
      <c r="B86" s="32" t="s">
        <v>360</v>
      </c>
      <c r="C86" s="20">
        <v>56</v>
      </c>
      <c r="D86" s="44">
        <v>12.99</v>
      </c>
      <c r="E86" s="44">
        <f t="shared" si="1"/>
        <v>727.44</v>
      </c>
      <c r="G86" s="203"/>
    </row>
    <row r="87" spans="1:7" ht="15.75" thickBot="1" x14ac:dyDescent="0.3">
      <c r="A87" s="554"/>
      <c r="B87" s="32" t="s">
        <v>362</v>
      </c>
      <c r="C87" s="20">
        <v>56</v>
      </c>
      <c r="D87" s="44">
        <v>10.47</v>
      </c>
      <c r="E87" s="44">
        <f t="shared" si="1"/>
        <v>586.32000000000005</v>
      </c>
      <c r="G87" s="203"/>
    </row>
    <row r="88" spans="1:7" ht="15.75" thickBot="1" x14ac:dyDescent="0.3">
      <c r="A88" s="554"/>
      <c r="B88" s="32" t="s">
        <v>364</v>
      </c>
      <c r="C88" s="20">
        <v>56</v>
      </c>
      <c r="D88" s="44">
        <v>15.6</v>
      </c>
      <c r="E88" s="44">
        <f t="shared" si="1"/>
        <v>873.6</v>
      </c>
      <c r="G88" s="203"/>
    </row>
    <row r="89" spans="1:7" ht="15.75" thickBot="1" x14ac:dyDescent="0.3">
      <c r="A89" s="554"/>
      <c r="B89" s="32" t="s">
        <v>366</v>
      </c>
      <c r="C89" s="20">
        <v>28</v>
      </c>
      <c r="D89" s="44">
        <v>89.6</v>
      </c>
      <c r="E89" s="44">
        <f t="shared" si="1"/>
        <v>2508.7999999999997</v>
      </c>
      <c r="G89" s="203"/>
    </row>
    <row r="90" spans="1:7" ht="15.75" thickBot="1" x14ac:dyDescent="0.3">
      <c r="A90" s="554"/>
      <c r="B90" s="32" t="s">
        <v>368</v>
      </c>
      <c r="C90" s="20">
        <v>12</v>
      </c>
      <c r="D90" s="44">
        <v>353</v>
      </c>
      <c r="E90" s="44">
        <f t="shared" si="1"/>
        <v>4236</v>
      </c>
      <c r="G90" s="202"/>
    </row>
    <row r="91" spans="1:7" ht="15.75" thickBot="1" x14ac:dyDescent="0.3">
      <c r="A91" s="554"/>
      <c r="B91" s="32" t="s">
        <v>370</v>
      </c>
      <c r="C91" s="20">
        <v>28</v>
      </c>
      <c r="D91" s="44">
        <v>126.72</v>
      </c>
      <c r="E91" s="44">
        <f t="shared" si="1"/>
        <v>3548.16</v>
      </c>
      <c r="G91" s="203"/>
    </row>
    <row r="92" spans="1:7" ht="15.75" thickBot="1" x14ac:dyDescent="0.3">
      <c r="A92" s="554"/>
      <c r="B92" s="32" t="s">
        <v>372</v>
      </c>
      <c r="C92" s="15">
        <v>28</v>
      </c>
      <c r="D92" s="44">
        <v>288</v>
      </c>
      <c r="E92" s="44">
        <f t="shared" si="1"/>
        <v>8064</v>
      </c>
      <c r="G92" s="30"/>
    </row>
    <row r="93" spans="1:7" ht="15.75" thickBot="1" x14ac:dyDescent="0.3">
      <c r="A93" s="554"/>
      <c r="B93" s="32" t="s">
        <v>374</v>
      </c>
      <c r="C93" s="15">
        <v>28</v>
      </c>
      <c r="D93" s="44">
        <v>14</v>
      </c>
      <c r="E93" s="44">
        <f t="shared" si="1"/>
        <v>392</v>
      </c>
      <c r="G93" s="30"/>
    </row>
    <row r="94" spans="1:7" ht="15.75" thickBot="1" x14ac:dyDescent="0.3">
      <c r="A94" s="554"/>
      <c r="B94" s="32" t="s">
        <v>376</v>
      </c>
      <c r="C94" s="15">
        <v>28</v>
      </c>
      <c r="D94" s="44">
        <v>23.93</v>
      </c>
      <c r="E94" s="44">
        <f t="shared" si="1"/>
        <v>670.04</v>
      </c>
      <c r="G94" s="203"/>
    </row>
    <row r="95" spans="1:7" ht="15.75" thickBot="1" x14ac:dyDescent="0.3">
      <c r="A95" s="554"/>
      <c r="B95" s="32" t="s">
        <v>378</v>
      </c>
      <c r="C95" s="15">
        <v>28</v>
      </c>
      <c r="D95" s="44">
        <v>72.760000000000005</v>
      </c>
      <c r="E95" s="44">
        <f t="shared" si="1"/>
        <v>2037.2800000000002</v>
      </c>
      <c r="G95" s="203"/>
    </row>
    <row r="96" spans="1:7" ht="15.75" thickBot="1" x14ac:dyDescent="0.3">
      <c r="A96" s="554"/>
      <c r="B96" s="32" t="s">
        <v>380</v>
      </c>
      <c r="C96" s="15">
        <v>28</v>
      </c>
      <c r="D96" s="44">
        <v>71.319999999999993</v>
      </c>
      <c r="E96" s="44">
        <f t="shared" si="1"/>
        <v>1996.9599999999998</v>
      </c>
      <c r="G96" s="203"/>
    </row>
    <row r="97" spans="1:7" ht="15.75" thickBot="1" x14ac:dyDescent="0.3">
      <c r="A97" s="554"/>
      <c r="B97" s="32" t="s">
        <v>382</v>
      </c>
      <c r="C97" s="15">
        <v>20</v>
      </c>
      <c r="D97" s="44">
        <v>162</v>
      </c>
      <c r="E97" s="44">
        <f t="shared" si="1"/>
        <v>3240</v>
      </c>
      <c r="G97" s="30"/>
    </row>
    <row r="98" spans="1:7" ht="15.75" thickBot="1" x14ac:dyDescent="0.3">
      <c r="A98" s="554"/>
      <c r="B98" s="32" t="s">
        <v>384</v>
      </c>
      <c r="C98" s="15">
        <v>28</v>
      </c>
      <c r="D98" s="44">
        <v>94</v>
      </c>
      <c r="E98" s="44">
        <f t="shared" si="1"/>
        <v>2632</v>
      </c>
      <c r="G98" s="30"/>
    </row>
    <row r="99" spans="1:7" ht="15.75" thickBot="1" x14ac:dyDescent="0.3">
      <c r="A99" s="554"/>
      <c r="B99" s="32" t="s">
        <v>386</v>
      </c>
      <c r="C99" s="15">
        <v>112</v>
      </c>
      <c r="D99" s="44">
        <v>9</v>
      </c>
      <c r="E99" s="44">
        <f t="shared" si="1"/>
        <v>1008</v>
      </c>
      <c r="G99" s="30"/>
    </row>
    <row r="100" spans="1:7" ht="15.75" thickBot="1" x14ac:dyDescent="0.3">
      <c r="A100" s="554"/>
      <c r="B100" s="32" t="s">
        <v>388</v>
      </c>
      <c r="C100" s="15">
        <v>85</v>
      </c>
      <c r="D100" s="44">
        <v>13.49</v>
      </c>
      <c r="E100" s="44">
        <f t="shared" si="1"/>
        <v>1146.6500000000001</v>
      </c>
      <c r="G100" s="203"/>
    </row>
    <row r="101" spans="1:7" ht="15.75" thickBot="1" x14ac:dyDescent="0.3">
      <c r="A101" s="554"/>
      <c r="B101" s="32" t="s">
        <v>390</v>
      </c>
      <c r="C101" s="20">
        <v>20</v>
      </c>
      <c r="D101" s="44">
        <v>60.12</v>
      </c>
      <c r="E101" s="44">
        <f t="shared" si="1"/>
        <v>1202.3999999999999</v>
      </c>
      <c r="G101" s="203"/>
    </row>
    <row r="102" spans="1:7" ht="15.75" thickBot="1" x14ac:dyDescent="0.3">
      <c r="A102" s="554"/>
      <c r="B102" s="32" t="s">
        <v>392</v>
      </c>
      <c r="C102" s="20">
        <v>20</v>
      </c>
      <c r="D102" s="44">
        <v>43.2</v>
      </c>
      <c r="E102" s="44">
        <f t="shared" si="1"/>
        <v>864</v>
      </c>
      <c r="G102" s="203"/>
    </row>
    <row r="103" spans="1:7" ht="15.75" thickBot="1" x14ac:dyDescent="0.3">
      <c r="A103" s="554"/>
      <c r="B103" s="32" t="s">
        <v>394</v>
      </c>
      <c r="C103" s="20">
        <v>200</v>
      </c>
      <c r="D103" s="44">
        <v>96</v>
      </c>
      <c r="E103" s="44">
        <f t="shared" si="1"/>
        <v>19200</v>
      </c>
      <c r="G103" s="202"/>
    </row>
    <row r="104" spans="1:7" ht="15.75" thickBot="1" x14ac:dyDescent="0.3">
      <c r="A104" s="554"/>
      <c r="B104" s="32" t="s">
        <v>396</v>
      </c>
      <c r="C104" s="20">
        <v>510</v>
      </c>
      <c r="D104" s="44">
        <v>183.74</v>
      </c>
      <c r="E104" s="44">
        <f t="shared" si="1"/>
        <v>93707.400000000009</v>
      </c>
      <c r="G104" s="203"/>
    </row>
    <row r="105" spans="1:7" ht="15.75" thickBot="1" x14ac:dyDescent="0.3">
      <c r="A105" s="554"/>
      <c r="B105" s="32" t="s">
        <v>398</v>
      </c>
      <c r="C105" s="20">
        <v>18</v>
      </c>
      <c r="D105" s="44">
        <v>220.08</v>
      </c>
      <c r="E105" s="44">
        <f t="shared" si="1"/>
        <v>3961.44</v>
      </c>
      <c r="G105" s="203"/>
    </row>
    <row r="106" spans="1:7" ht="15.75" thickBot="1" x14ac:dyDescent="0.3">
      <c r="A106" s="554"/>
      <c r="B106" s="32" t="s">
        <v>400</v>
      </c>
      <c r="C106" s="20">
        <v>12</v>
      </c>
      <c r="D106" s="44">
        <v>304.33</v>
      </c>
      <c r="E106" s="44">
        <f t="shared" si="1"/>
        <v>3651.96</v>
      </c>
      <c r="G106" s="203"/>
    </row>
    <row r="107" spans="1:7" ht="15.75" thickBot="1" x14ac:dyDescent="0.3">
      <c r="A107" s="554"/>
      <c r="B107" s="32" t="s">
        <v>402</v>
      </c>
      <c r="C107" s="20">
        <v>28</v>
      </c>
      <c r="D107" s="44">
        <v>55.78</v>
      </c>
      <c r="E107" s="44">
        <f t="shared" si="1"/>
        <v>1561.8400000000001</v>
      </c>
      <c r="G107" s="203"/>
    </row>
    <row r="108" spans="1:7" ht="15.75" thickBot="1" x14ac:dyDescent="0.3">
      <c r="A108" s="554"/>
      <c r="B108" s="57" t="s">
        <v>404</v>
      </c>
      <c r="C108" s="20">
        <v>28</v>
      </c>
      <c r="D108" s="44">
        <v>48.74</v>
      </c>
      <c r="E108" s="44">
        <f t="shared" si="1"/>
        <v>1364.72</v>
      </c>
      <c r="G108" s="203"/>
    </row>
    <row r="109" spans="1:7" ht="17.25" thickBot="1" x14ac:dyDescent="0.3">
      <c r="A109" s="112"/>
      <c r="B109" s="112" t="s">
        <v>709</v>
      </c>
      <c r="C109" s="112"/>
      <c r="D109" s="201"/>
      <c r="E109" s="201">
        <f>SUM(E54:E108)</f>
        <v>4621734.8761538491</v>
      </c>
      <c r="G109" s="201"/>
    </row>
    <row r="110" spans="1:7" ht="33.75" thickBot="1" x14ac:dyDescent="0.3">
      <c r="A110" s="198" t="s">
        <v>228</v>
      </c>
      <c r="B110" s="198" t="s">
        <v>85</v>
      </c>
      <c r="C110" s="198" t="s">
        <v>229</v>
      </c>
      <c r="D110" s="25" t="s">
        <v>123</v>
      </c>
      <c r="E110" s="25" t="s">
        <v>230</v>
      </c>
      <c r="G110" s="25"/>
    </row>
    <row r="111" spans="1:7" ht="15.75" thickBot="1" x14ac:dyDescent="0.3">
      <c r="A111" s="553" t="s">
        <v>309</v>
      </c>
      <c r="B111" s="48" t="s">
        <v>406</v>
      </c>
      <c r="C111" s="15">
        <v>28</v>
      </c>
      <c r="D111" s="44">
        <v>243.21</v>
      </c>
      <c r="E111" s="44">
        <f t="shared" ref="E111:E152" si="2">D111*C111</f>
        <v>6809.88</v>
      </c>
      <c r="G111" s="203"/>
    </row>
    <row r="112" spans="1:7" ht="15.75" thickBot="1" x14ac:dyDescent="0.3">
      <c r="A112" s="554"/>
      <c r="B112" s="32" t="s">
        <v>722</v>
      </c>
      <c r="C112" s="20">
        <v>28</v>
      </c>
      <c r="D112" s="44">
        <v>183.74</v>
      </c>
      <c r="E112" s="44">
        <f t="shared" si="2"/>
        <v>5144.72</v>
      </c>
      <c r="G112" s="203"/>
    </row>
    <row r="113" spans="1:7" ht="15.75" thickBot="1" x14ac:dyDescent="0.3">
      <c r="A113" s="554"/>
      <c r="B113" s="32" t="s">
        <v>409</v>
      </c>
      <c r="C113" s="20">
        <v>28</v>
      </c>
      <c r="D113" s="44">
        <v>144.34</v>
      </c>
      <c r="E113" s="44">
        <f t="shared" si="2"/>
        <v>4041.52</v>
      </c>
      <c r="G113" s="203"/>
    </row>
    <row r="114" spans="1:7" ht="15.75" thickBot="1" x14ac:dyDescent="0.3">
      <c r="A114" s="554"/>
      <c r="B114" s="32" t="s">
        <v>411</v>
      </c>
      <c r="C114" s="20">
        <v>4</v>
      </c>
      <c r="D114" s="44">
        <v>3218</v>
      </c>
      <c r="E114" s="44">
        <f t="shared" si="2"/>
        <v>12872</v>
      </c>
      <c r="G114" s="30"/>
    </row>
    <row r="115" spans="1:7" ht="15.75" thickBot="1" x14ac:dyDescent="0.3">
      <c r="A115" s="554"/>
      <c r="B115" s="32" t="s">
        <v>413</v>
      </c>
      <c r="C115" s="20">
        <v>28</v>
      </c>
      <c r="D115" s="44">
        <v>608.75</v>
      </c>
      <c r="E115" s="44">
        <f t="shared" si="2"/>
        <v>17045</v>
      </c>
      <c r="G115" s="203"/>
    </row>
    <row r="116" spans="1:7" ht="15.75" thickBot="1" x14ac:dyDescent="0.3">
      <c r="A116" s="554"/>
      <c r="B116" s="32" t="s">
        <v>415</v>
      </c>
      <c r="C116" s="20">
        <v>28</v>
      </c>
      <c r="D116" s="44">
        <v>954.84</v>
      </c>
      <c r="E116" s="44">
        <f t="shared" si="2"/>
        <v>26735.52</v>
      </c>
      <c r="G116" s="203"/>
    </row>
    <row r="117" spans="1:7" ht="15.75" thickBot="1" x14ac:dyDescent="0.3">
      <c r="A117" s="554"/>
      <c r="B117" s="32" t="s">
        <v>417</v>
      </c>
      <c r="C117" s="20">
        <v>28</v>
      </c>
      <c r="D117" s="44">
        <v>789.12</v>
      </c>
      <c r="E117" s="44">
        <f t="shared" si="2"/>
        <v>22095.360000000001</v>
      </c>
      <c r="G117" s="203"/>
    </row>
    <row r="118" spans="1:7" ht="15.75" thickBot="1" x14ac:dyDescent="0.3">
      <c r="A118" s="554"/>
      <c r="B118" s="32" t="s">
        <v>419</v>
      </c>
      <c r="C118" s="15">
        <v>28</v>
      </c>
      <c r="D118" s="44">
        <v>77.3</v>
      </c>
      <c r="E118" s="44">
        <f t="shared" si="2"/>
        <v>2164.4</v>
      </c>
      <c r="G118" s="203"/>
    </row>
    <row r="119" spans="1:7" ht="15.75" thickBot="1" x14ac:dyDescent="0.3">
      <c r="A119" s="554"/>
      <c r="B119" s="32" t="s">
        <v>421</v>
      </c>
      <c r="C119" s="15">
        <v>28</v>
      </c>
      <c r="D119" s="44">
        <v>192.94</v>
      </c>
      <c r="E119" s="44">
        <f t="shared" si="2"/>
        <v>5402.32</v>
      </c>
      <c r="G119" s="203"/>
    </row>
    <row r="120" spans="1:7" ht="15.75" thickBot="1" x14ac:dyDescent="0.3">
      <c r="A120" s="554"/>
      <c r="B120" s="32" t="s">
        <v>423</v>
      </c>
      <c r="C120" s="15">
        <v>28</v>
      </c>
      <c r="D120" s="44">
        <v>550</v>
      </c>
      <c r="E120" s="44">
        <f t="shared" si="2"/>
        <v>15400</v>
      </c>
      <c r="G120" s="30"/>
    </row>
    <row r="121" spans="1:7" ht="15.75" thickBot="1" x14ac:dyDescent="0.3">
      <c r="A121" s="554"/>
      <c r="B121" s="32" t="s">
        <v>75</v>
      </c>
      <c r="C121" s="15">
        <v>4</v>
      </c>
      <c r="D121" s="44">
        <v>15700</v>
      </c>
      <c r="E121" s="44">
        <f t="shared" si="2"/>
        <v>62800</v>
      </c>
      <c r="G121" s="203"/>
    </row>
    <row r="122" spans="1:7" ht="15.75" thickBot="1" x14ac:dyDescent="0.3">
      <c r="A122" s="554"/>
      <c r="B122" s="32" t="s">
        <v>73</v>
      </c>
      <c r="C122" s="15">
        <v>4</v>
      </c>
      <c r="D122" s="44">
        <v>45800</v>
      </c>
      <c r="E122" s="44">
        <f t="shared" si="2"/>
        <v>183200</v>
      </c>
      <c r="G122" s="203"/>
    </row>
    <row r="123" spans="1:7" ht="15.75" thickBot="1" x14ac:dyDescent="0.3">
      <c r="A123" s="554"/>
      <c r="B123" s="32" t="s">
        <v>71</v>
      </c>
      <c r="C123" s="15">
        <v>28</v>
      </c>
      <c r="D123" s="44">
        <v>4090</v>
      </c>
      <c r="E123" s="44">
        <f t="shared" si="2"/>
        <v>114520</v>
      </c>
      <c r="G123" s="203"/>
    </row>
    <row r="124" spans="1:7" ht="15.75" thickBot="1" x14ac:dyDescent="0.3">
      <c r="A124" s="554"/>
      <c r="B124" s="32" t="s">
        <v>426</v>
      </c>
      <c r="C124" s="15">
        <v>28</v>
      </c>
      <c r="D124" s="44">
        <v>3650</v>
      </c>
      <c r="E124" s="44">
        <f t="shared" si="2"/>
        <v>102200</v>
      </c>
      <c r="G124" s="203"/>
    </row>
    <row r="125" spans="1:7" ht="30.75" thickBot="1" x14ac:dyDescent="0.3">
      <c r="A125" s="554"/>
      <c r="B125" s="32" t="s">
        <v>428</v>
      </c>
      <c r="C125" s="15">
        <v>8</v>
      </c>
      <c r="D125" s="44">
        <v>5100</v>
      </c>
      <c r="E125" s="44">
        <f t="shared" si="2"/>
        <v>40800</v>
      </c>
      <c r="G125" s="203"/>
    </row>
    <row r="126" spans="1:7" x14ac:dyDescent="0.25">
      <c r="A126" s="554"/>
      <c r="B126" s="32" t="s">
        <v>430</v>
      </c>
      <c r="C126" s="15">
        <v>84</v>
      </c>
      <c r="D126" s="547">
        <v>20800</v>
      </c>
      <c r="E126" s="547">
        <f t="shared" si="2"/>
        <v>1747200</v>
      </c>
      <c r="G126" s="544"/>
    </row>
    <row r="127" spans="1:7" x14ac:dyDescent="0.25">
      <c r="A127" s="554"/>
      <c r="B127" s="32" t="s">
        <v>432</v>
      </c>
      <c r="C127" s="15">
        <v>84</v>
      </c>
      <c r="D127" s="548"/>
      <c r="E127" s="548"/>
      <c r="G127" s="545"/>
    </row>
    <row r="128" spans="1:7" ht="15.75" thickBot="1" x14ac:dyDescent="0.3">
      <c r="A128" s="554"/>
      <c r="B128" s="32" t="s">
        <v>434</v>
      </c>
      <c r="C128" s="15">
        <v>88</v>
      </c>
      <c r="D128" s="549"/>
      <c r="E128" s="549"/>
      <c r="G128" s="546"/>
    </row>
    <row r="129" spans="1:7" ht="15.75" thickBot="1" x14ac:dyDescent="0.3">
      <c r="A129" s="554"/>
      <c r="B129" s="32" t="s">
        <v>436</v>
      </c>
      <c r="C129" s="15">
        <v>91</v>
      </c>
      <c r="D129" s="44">
        <v>30</v>
      </c>
      <c r="E129" s="44">
        <f t="shared" si="2"/>
        <v>2730</v>
      </c>
      <c r="G129" s="30"/>
    </row>
    <row r="130" spans="1:7" ht="15.75" thickBot="1" x14ac:dyDescent="0.3">
      <c r="A130" s="554"/>
      <c r="B130" s="32" t="s">
        <v>438</v>
      </c>
      <c r="C130" s="15">
        <v>98</v>
      </c>
      <c r="D130" s="44">
        <v>2150</v>
      </c>
      <c r="E130" s="44">
        <f t="shared" si="2"/>
        <v>210700</v>
      </c>
      <c r="G130" s="203"/>
    </row>
    <row r="131" spans="1:7" ht="15.75" thickBot="1" x14ac:dyDescent="0.3">
      <c r="A131" s="554"/>
      <c r="B131" s="32" t="s">
        <v>440</v>
      </c>
      <c r="C131" s="15">
        <v>96</v>
      </c>
      <c r="D131" s="44">
        <v>70.209999999999994</v>
      </c>
      <c r="E131" s="44">
        <f t="shared" si="2"/>
        <v>6740.16</v>
      </c>
      <c r="G131" s="203"/>
    </row>
    <row r="132" spans="1:7" ht="15.75" thickBot="1" x14ac:dyDescent="0.3">
      <c r="A132" s="554"/>
      <c r="B132" s="32" t="s">
        <v>442</v>
      </c>
      <c r="C132" s="15">
        <v>84</v>
      </c>
      <c r="D132" s="44">
        <v>3700</v>
      </c>
      <c r="E132" s="44">
        <f t="shared" si="2"/>
        <v>310800</v>
      </c>
      <c r="G132" s="203"/>
    </row>
    <row r="133" spans="1:7" ht="15.75" thickBot="1" x14ac:dyDescent="0.3">
      <c r="A133" s="554"/>
      <c r="B133" s="32" t="s">
        <v>444</v>
      </c>
      <c r="C133" s="15">
        <v>126</v>
      </c>
      <c r="D133" s="44">
        <v>568</v>
      </c>
      <c r="E133" s="44">
        <f t="shared" si="2"/>
        <v>71568</v>
      </c>
      <c r="G133" s="203"/>
    </row>
    <row r="134" spans="1:7" ht="15.75" thickBot="1" x14ac:dyDescent="0.3">
      <c r="A134" s="554"/>
      <c r="B134" s="32" t="s">
        <v>710</v>
      </c>
      <c r="C134" s="15">
        <v>81</v>
      </c>
      <c r="D134" s="44">
        <v>103</v>
      </c>
      <c r="E134" s="44">
        <f t="shared" si="2"/>
        <v>8343</v>
      </c>
      <c r="G134" s="30"/>
    </row>
    <row r="135" spans="1:7" ht="15.75" thickBot="1" x14ac:dyDescent="0.3">
      <c r="A135" s="554"/>
      <c r="B135" s="32" t="s">
        <v>446</v>
      </c>
      <c r="C135" s="15">
        <v>9</v>
      </c>
      <c r="D135" s="44">
        <v>200</v>
      </c>
      <c r="E135" s="44">
        <f t="shared" si="2"/>
        <v>1800</v>
      </c>
      <c r="G135" s="30"/>
    </row>
    <row r="136" spans="1:7" ht="15.75" thickBot="1" x14ac:dyDescent="0.3">
      <c r="A136" s="554"/>
      <c r="B136" s="32" t="s">
        <v>448</v>
      </c>
      <c r="C136" s="15">
        <v>9</v>
      </c>
      <c r="D136" s="44">
        <v>485</v>
      </c>
      <c r="E136" s="44">
        <f t="shared" si="2"/>
        <v>4365</v>
      </c>
      <c r="G136" s="30"/>
    </row>
    <row r="137" spans="1:7" ht="15.75" thickBot="1" x14ac:dyDescent="0.3">
      <c r="A137" s="554"/>
      <c r="B137" s="32" t="s">
        <v>68</v>
      </c>
      <c r="C137" s="15">
        <v>83</v>
      </c>
      <c r="D137" s="44">
        <v>3800</v>
      </c>
      <c r="E137" s="44">
        <f t="shared" si="2"/>
        <v>315400</v>
      </c>
      <c r="G137" s="203"/>
    </row>
    <row r="138" spans="1:7" ht="15.75" thickBot="1" x14ac:dyDescent="0.3">
      <c r="A138" s="554"/>
      <c r="B138" s="32" t="s">
        <v>450</v>
      </c>
      <c r="C138" s="15">
        <v>7</v>
      </c>
      <c r="D138" s="44">
        <v>1246</v>
      </c>
      <c r="E138" s="44">
        <f t="shared" si="2"/>
        <v>8722</v>
      </c>
      <c r="G138" s="30"/>
    </row>
    <row r="139" spans="1:7" ht="15.75" thickBot="1" x14ac:dyDescent="0.3">
      <c r="A139" s="554"/>
      <c r="B139" s="32" t="s">
        <v>452</v>
      </c>
      <c r="C139" s="15">
        <v>126</v>
      </c>
      <c r="D139" s="44">
        <v>65</v>
      </c>
      <c r="E139" s="44">
        <f t="shared" si="2"/>
        <v>8190</v>
      </c>
      <c r="G139" s="30"/>
    </row>
    <row r="140" spans="1:7" ht="15.75" thickBot="1" x14ac:dyDescent="0.3">
      <c r="A140" s="554"/>
      <c r="B140" s="32" t="s">
        <v>455</v>
      </c>
      <c r="C140" s="15">
        <v>9</v>
      </c>
      <c r="D140" s="44">
        <v>46</v>
      </c>
      <c r="E140" s="44">
        <f t="shared" si="2"/>
        <v>414</v>
      </c>
      <c r="G140" s="30"/>
    </row>
    <row r="141" spans="1:7" ht="15.75" thickBot="1" x14ac:dyDescent="0.3">
      <c r="A141" s="554"/>
      <c r="B141" s="32" t="s">
        <v>457</v>
      </c>
      <c r="C141" s="15">
        <v>68</v>
      </c>
      <c r="D141" s="44">
        <f>(7098+267)*1.15</f>
        <v>8469.75</v>
      </c>
      <c r="E141" s="44">
        <f t="shared" si="2"/>
        <v>575943</v>
      </c>
      <c r="G141" s="203"/>
    </row>
    <row r="142" spans="1:7" ht="15.75" thickBot="1" x14ac:dyDescent="0.3">
      <c r="A142" s="554"/>
      <c r="B142" s="32" t="s">
        <v>459</v>
      </c>
      <c r="C142" s="15">
        <v>5</v>
      </c>
      <c r="D142" s="44">
        <v>2770</v>
      </c>
      <c r="E142" s="44">
        <f t="shared" si="2"/>
        <v>13850</v>
      </c>
      <c r="G142" s="203"/>
    </row>
    <row r="143" spans="1:7" ht="15.75" thickBot="1" x14ac:dyDescent="0.3">
      <c r="A143" s="554"/>
      <c r="B143" s="32" t="s">
        <v>461</v>
      </c>
      <c r="C143" s="15">
        <v>18</v>
      </c>
      <c r="D143" s="44">
        <v>295</v>
      </c>
      <c r="E143" s="44">
        <f t="shared" si="2"/>
        <v>5310</v>
      </c>
      <c r="G143" s="203"/>
    </row>
    <row r="144" spans="1:7" ht="15.75" thickBot="1" x14ac:dyDescent="0.3">
      <c r="A144" s="554"/>
      <c r="B144" s="32" t="s">
        <v>463</v>
      </c>
      <c r="C144" s="15">
        <v>10</v>
      </c>
      <c r="D144" s="44">
        <v>3800</v>
      </c>
      <c r="E144" s="44">
        <f t="shared" si="2"/>
        <v>38000</v>
      </c>
      <c r="G144" s="203"/>
    </row>
    <row r="145" spans="1:7" ht="15.75" thickBot="1" x14ac:dyDescent="0.3">
      <c r="A145" s="554"/>
      <c r="B145" s="32" t="s">
        <v>465</v>
      </c>
      <c r="C145" s="15">
        <v>13</v>
      </c>
      <c r="D145" s="44">
        <v>1100</v>
      </c>
      <c r="E145" s="44">
        <f t="shared" si="2"/>
        <v>14300</v>
      </c>
      <c r="G145" s="30"/>
    </row>
    <row r="146" spans="1:7" ht="15.75" thickBot="1" x14ac:dyDescent="0.3">
      <c r="A146" s="554"/>
      <c r="B146" s="32" t="s">
        <v>467</v>
      </c>
      <c r="C146" s="15">
        <v>13</v>
      </c>
      <c r="D146" s="44">
        <v>1600</v>
      </c>
      <c r="E146" s="44">
        <f t="shared" si="2"/>
        <v>20800</v>
      </c>
      <c r="G146" s="30"/>
    </row>
    <row r="147" spans="1:7" ht="15.75" thickBot="1" x14ac:dyDescent="0.3">
      <c r="A147" s="554"/>
      <c r="B147" s="32" t="s">
        <v>469</v>
      </c>
      <c r="C147" s="15">
        <v>50</v>
      </c>
      <c r="D147" s="44">
        <v>3</v>
      </c>
      <c r="E147" s="44">
        <f t="shared" si="2"/>
        <v>150</v>
      </c>
      <c r="G147" s="30"/>
    </row>
    <row r="148" spans="1:7" ht="15.75" thickBot="1" x14ac:dyDescent="0.3">
      <c r="A148" s="554"/>
      <c r="B148" s="32" t="s">
        <v>471</v>
      </c>
      <c r="C148" s="15">
        <v>4</v>
      </c>
      <c r="D148" s="44">
        <v>2450</v>
      </c>
      <c r="E148" s="44">
        <f t="shared" si="2"/>
        <v>9800</v>
      </c>
      <c r="G148" s="30"/>
    </row>
    <row r="149" spans="1:7" ht="15.75" thickBot="1" x14ac:dyDescent="0.3">
      <c r="A149" s="554"/>
      <c r="B149" s="32" t="s">
        <v>64</v>
      </c>
      <c r="C149" s="15">
        <v>4</v>
      </c>
      <c r="D149" s="44">
        <v>3250</v>
      </c>
      <c r="E149" s="44">
        <f t="shared" si="2"/>
        <v>13000</v>
      </c>
      <c r="G149" s="30"/>
    </row>
    <row r="150" spans="1:7" ht="15.75" thickBot="1" x14ac:dyDescent="0.3">
      <c r="A150" s="554"/>
      <c r="B150" s="32" t="s">
        <v>711</v>
      </c>
      <c r="C150" s="15">
        <v>1</v>
      </c>
      <c r="D150" s="44">
        <v>1923.07</v>
      </c>
      <c r="E150" s="44">
        <f t="shared" si="2"/>
        <v>1923.07</v>
      </c>
      <c r="G150" s="203"/>
    </row>
    <row r="151" spans="1:7" ht="15.75" thickBot="1" x14ac:dyDescent="0.3">
      <c r="A151" s="554"/>
      <c r="B151" s="32" t="s">
        <v>712</v>
      </c>
      <c r="C151" s="15">
        <v>1</v>
      </c>
      <c r="D151" s="44">
        <v>8000</v>
      </c>
      <c r="E151" s="44">
        <f t="shared" si="2"/>
        <v>8000</v>
      </c>
      <c r="G151" s="30"/>
    </row>
    <row r="152" spans="1:7" ht="15.75" thickBot="1" x14ac:dyDescent="0.3">
      <c r="A152" s="554"/>
      <c r="B152" s="57" t="s">
        <v>713</v>
      </c>
      <c r="C152" s="51">
        <v>1</v>
      </c>
      <c r="D152" s="44">
        <v>1000</v>
      </c>
      <c r="E152" s="44">
        <f t="shared" si="2"/>
        <v>1000</v>
      </c>
      <c r="G152" s="200"/>
    </row>
    <row r="153" spans="1:7" ht="17.25" thickBot="1" x14ac:dyDescent="0.3">
      <c r="A153" s="112"/>
      <c r="B153" s="112" t="s">
        <v>714</v>
      </c>
      <c r="C153" s="112"/>
      <c r="D153" s="201"/>
      <c r="E153" s="201">
        <f>SUM(E111:E152)</f>
        <v>4020278.9499999997</v>
      </c>
      <c r="G153" s="201"/>
    </row>
    <row r="154" spans="1:7" ht="17.25" thickBot="1" x14ac:dyDescent="0.3">
      <c r="A154" s="112"/>
      <c r="B154" s="112" t="s">
        <v>715</v>
      </c>
      <c r="C154" s="112"/>
      <c r="D154" s="201"/>
      <c r="E154" s="201">
        <f>+E153+E109</f>
        <v>8642013.8261538483</v>
      </c>
      <c r="G154" s="201"/>
    </row>
    <row r="155" spans="1:7" x14ac:dyDescent="0.25">
      <c r="G155" s="27"/>
    </row>
    <row r="156" spans="1:7" x14ac:dyDescent="0.25">
      <c r="G156" s="27"/>
    </row>
    <row r="157" spans="1:7" ht="15.75" thickBot="1" x14ac:dyDescent="0.3">
      <c r="G157" s="27"/>
    </row>
    <row r="158" spans="1:7" ht="33.75" thickBot="1" x14ac:dyDescent="0.3">
      <c r="A158" s="198" t="s">
        <v>228</v>
      </c>
      <c r="B158" s="198" t="s">
        <v>85</v>
      </c>
      <c r="C158" s="198" t="s">
        <v>229</v>
      </c>
      <c r="D158" s="25" t="s">
        <v>123</v>
      </c>
      <c r="E158" s="25" t="s">
        <v>230</v>
      </c>
      <c r="G158" s="25"/>
    </row>
    <row r="159" spans="1:7" ht="15.75" thickBot="1" x14ac:dyDescent="0.3">
      <c r="A159" s="558" t="s">
        <v>473</v>
      </c>
      <c r="B159" s="48" t="s">
        <v>477</v>
      </c>
      <c r="C159" s="47">
        <v>118</v>
      </c>
      <c r="D159" s="44">
        <v>260</v>
      </c>
      <c r="E159" s="44">
        <f t="shared" ref="E159:E190" si="3">D159*C159</f>
        <v>30680</v>
      </c>
      <c r="G159" s="44"/>
    </row>
    <row r="160" spans="1:7" ht="15.75" thickBot="1" x14ac:dyDescent="0.3">
      <c r="A160" s="559" t="s">
        <v>473</v>
      </c>
      <c r="B160" s="32" t="s">
        <v>479</v>
      </c>
      <c r="C160" s="15">
        <v>92</v>
      </c>
      <c r="D160" s="44">
        <v>84</v>
      </c>
      <c r="E160" s="44">
        <f t="shared" si="3"/>
        <v>7728</v>
      </c>
      <c r="G160" s="30"/>
    </row>
    <row r="161" spans="1:8" ht="15.75" thickBot="1" x14ac:dyDescent="0.3">
      <c r="A161" s="559" t="s">
        <v>473</v>
      </c>
      <c r="B161" s="32" t="s">
        <v>481</v>
      </c>
      <c r="C161" s="15">
        <v>111</v>
      </c>
      <c r="D161" s="44">
        <v>29</v>
      </c>
      <c r="E161" s="44">
        <f t="shared" si="3"/>
        <v>3219</v>
      </c>
      <c r="G161" s="30"/>
    </row>
    <row r="162" spans="1:8" ht="15.75" thickBot="1" x14ac:dyDescent="0.3">
      <c r="A162" s="559" t="s">
        <v>473</v>
      </c>
      <c r="B162" s="32" t="s">
        <v>483</v>
      </c>
      <c r="C162" s="15">
        <v>120</v>
      </c>
      <c r="D162" s="44">
        <v>32</v>
      </c>
      <c r="E162" s="44">
        <f t="shared" si="3"/>
        <v>3840</v>
      </c>
      <c r="G162" s="30"/>
    </row>
    <row r="163" spans="1:8" ht="15.75" thickBot="1" x14ac:dyDescent="0.3">
      <c r="A163" s="559" t="s">
        <v>473</v>
      </c>
      <c r="B163" s="32" t="s">
        <v>485</v>
      </c>
      <c r="C163" s="15">
        <v>115</v>
      </c>
      <c r="D163" s="44">
        <v>78</v>
      </c>
      <c r="E163" s="44">
        <f t="shared" si="3"/>
        <v>8970</v>
      </c>
      <c r="G163" s="30"/>
    </row>
    <row r="164" spans="1:8" ht="15.75" thickBot="1" x14ac:dyDescent="0.3">
      <c r="A164" s="559" t="s">
        <v>473</v>
      </c>
      <c r="B164" s="32" t="s">
        <v>487</v>
      </c>
      <c r="C164" s="15">
        <v>120</v>
      </c>
      <c r="D164" s="44">
        <v>52</v>
      </c>
      <c r="E164" s="44">
        <f t="shared" si="3"/>
        <v>6240</v>
      </c>
      <c r="G164" s="30"/>
    </row>
    <row r="165" spans="1:8" ht="15.75" thickBot="1" x14ac:dyDescent="0.3">
      <c r="A165" s="559" t="s">
        <v>473</v>
      </c>
      <c r="B165" s="32" t="s">
        <v>489</v>
      </c>
      <c r="C165" s="15">
        <v>95</v>
      </c>
      <c r="D165" s="44">
        <v>201</v>
      </c>
      <c r="E165" s="44">
        <f t="shared" si="3"/>
        <v>19095</v>
      </c>
      <c r="G165" s="30"/>
    </row>
    <row r="166" spans="1:8" ht="15.75" thickBot="1" x14ac:dyDescent="0.3">
      <c r="A166" s="559" t="s">
        <v>473</v>
      </c>
      <c r="B166" s="32" t="s">
        <v>491</v>
      </c>
      <c r="C166" s="15">
        <v>117</v>
      </c>
      <c r="D166" s="44">
        <v>60</v>
      </c>
      <c r="E166" s="44">
        <f t="shared" si="3"/>
        <v>7020</v>
      </c>
      <c r="G166" s="30"/>
    </row>
    <row r="167" spans="1:8" ht="21" customHeight="1" thickBot="1" x14ac:dyDescent="0.3">
      <c r="A167" s="559" t="s">
        <v>473</v>
      </c>
      <c r="B167" s="32" t="s">
        <v>119</v>
      </c>
      <c r="C167" s="15">
        <v>68</v>
      </c>
      <c r="D167" s="44">
        <v>3202</v>
      </c>
      <c r="E167" s="44">
        <f t="shared" si="3"/>
        <v>217736</v>
      </c>
      <c r="G167" s="203"/>
    </row>
    <row r="168" spans="1:8" ht="15.75" thickBot="1" x14ac:dyDescent="0.3">
      <c r="A168" s="559" t="s">
        <v>473</v>
      </c>
      <c r="B168" s="32" t="s">
        <v>116</v>
      </c>
      <c r="C168" s="15">
        <v>5</v>
      </c>
      <c r="D168" s="44">
        <v>12096</v>
      </c>
      <c r="E168" s="44">
        <f t="shared" si="3"/>
        <v>60480</v>
      </c>
      <c r="G168" s="30"/>
    </row>
    <row r="169" spans="1:8" ht="15.75" thickBot="1" x14ac:dyDescent="0.3">
      <c r="A169" s="559" t="s">
        <v>473</v>
      </c>
      <c r="B169" s="32" t="s">
        <v>114</v>
      </c>
      <c r="C169" s="15">
        <v>56</v>
      </c>
      <c r="D169" s="44">
        <v>3600</v>
      </c>
      <c r="E169" s="44">
        <f t="shared" si="3"/>
        <v>201600</v>
      </c>
      <c r="G169" s="203"/>
    </row>
    <row r="170" spans="1:8" ht="15.75" thickBot="1" x14ac:dyDescent="0.3">
      <c r="A170" s="559" t="s">
        <v>473</v>
      </c>
      <c r="B170" s="32" t="s">
        <v>493</v>
      </c>
      <c r="C170" s="15">
        <v>28</v>
      </c>
      <c r="D170" s="44">
        <v>274</v>
      </c>
      <c r="E170" s="44">
        <f t="shared" si="3"/>
        <v>7672</v>
      </c>
      <c r="G170" s="30"/>
    </row>
    <row r="171" spans="1:8" ht="15.75" thickBot="1" x14ac:dyDescent="0.3">
      <c r="A171" s="559" t="s">
        <v>473</v>
      </c>
      <c r="B171" s="32" t="s">
        <v>495</v>
      </c>
      <c r="C171" s="15">
        <v>49</v>
      </c>
      <c r="D171" s="44">
        <v>1778</v>
      </c>
      <c r="E171" s="44">
        <f t="shared" si="3"/>
        <v>87122</v>
      </c>
      <c r="G171" s="30"/>
    </row>
    <row r="172" spans="1:8" ht="15.75" thickBot="1" x14ac:dyDescent="0.3">
      <c r="A172" s="559" t="s">
        <v>473</v>
      </c>
      <c r="B172" s="32" t="s">
        <v>497</v>
      </c>
      <c r="C172" s="15">
        <v>22</v>
      </c>
      <c r="D172" s="44">
        <v>154</v>
      </c>
      <c r="E172" s="44">
        <f t="shared" si="3"/>
        <v>3388</v>
      </c>
      <c r="G172" s="30"/>
    </row>
    <row r="173" spans="1:8" ht="15.75" thickBot="1" x14ac:dyDescent="0.3">
      <c r="A173" s="559" t="s">
        <v>473</v>
      </c>
      <c r="B173" s="32" t="s">
        <v>102</v>
      </c>
      <c r="C173" s="15">
        <v>13</v>
      </c>
      <c r="D173" s="44">
        <v>13144</v>
      </c>
      <c r="E173" s="44">
        <f t="shared" si="3"/>
        <v>170872</v>
      </c>
      <c r="G173" s="203"/>
    </row>
    <row r="174" spans="1:8" ht="15.75" thickBot="1" x14ac:dyDescent="0.3">
      <c r="A174" s="559" t="s">
        <v>473</v>
      </c>
      <c r="B174" s="32" t="s">
        <v>100</v>
      </c>
      <c r="C174" s="15">
        <v>4</v>
      </c>
      <c r="D174" s="44">
        <v>7500</v>
      </c>
      <c r="E174" s="44">
        <f t="shared" si="3"/>
        <v>30000</v>
      </c>
      <c r="G174" s="30"/>
    </row>
    <row r="175" spans="1:8" ht="15.75" thickBot="1" x14ac:dyDescent="0.3">
      <c r="A175" s="559" t="s">
        <v>473</v>
      </c>
      <c r="B175" s="32" t="s">
        <v>98</v>
      </c>
      <c r="C175" s="15">
        <v>1</v>
      </c>
      <c r="D175" s="44">
        <v>8750</v>
      </c>
      <c r="E175" s="44">
        <f t="shared" si="3"/>
        <v>8750</v>
      </c>
      <c r="G175" s="30"/>
    </row>
    <row r="176" spans="1:8" ht="15.75" thickBot="1" x14ac:dyDescent="0.3">
      <c r="A176" s="559" t="s">
        <v>473</v>
      </c>
      <c r="B176" s="32" t="s">
        <v>499</v>
      </c>
      <c r="C176" s="15">
        <v>2</v>
      </c>
      <c r="D176" s="44">
        <v>256</v>
      </c>
      <c r="E176" s="44">
        <f t="shared" si="3"/>
        <v>512</v>
      </c>
      <c r="G176" s="30"/>
      <c r="H176" t="s">
        <v>118</v>
      </c>
    </row>
    <row r="177" spans="1:7" ht="15.75" thickBot="1" x14ac:dyDescent="0.3">
      <c r="A177" s="559" t="s">
        <v>473</v>
      </c>
      <c r="B177" s="32" t="s">
        <v>501</v>
      </c>
      <c r="C177" s="15">
        <v>2</v>
      </c>
      <c r="D177" s="44">
        <v>72</v>
      </c>
      <c r="E177" s="44">
        <f t="shared" si="3"/>
        <v>144</v>
      </c>
      <c r="G177" s="203"/>
    </row>
    <row r="178" spans="1:7" ht="15.75" thickBot="1" x14ac:dyDescent="0.3">
      <c r="A178" s="559" t="s">
        <v>473</v>
      </c>
      <c r="B178" s="32" t="s">
        <v>108</v>
      </c>
      <c r="C178" s="15">
        <v>36</v>
      </c>
      <c r="D178" s="44">
        <v>3305</v>
      </c>
      <c r="E178" s="44">
        <f t="shared" si="3"/>
        <v>118980</v>
      </c>
      <c r="G178" s="30"/>
    </row>
    <row r="179" spans="1:7" ht="15.75" thickBot="1" x14ac:dyDescent="0.3">
      <c r="A179" s="559" t="s">
        <v>473</v>
      </c>
      <c r="B179" s="32" t="s">
        <v>503</v>
      </c>
      <c r="C179" s="15">
        <v>8</v>
      </c>
      <c r="D179" s="44">
        <v>403</v>
      </c>
      <c r="E179" s="44">
        <f t="shared" si="3"/>
        <v>3224</v>
      </c>
      <c r="G179" s="30"/>
    </row>
    <row r="180" spans="1:7" ht="15.75" thickBot="1" x14ac:dyDescent="0.3">
      <c r="A180" s="559" t="s">
        <v>473</v>
      </c>
      <c r="B180" s="32" t="s">
        <v>505</v>
      </c>
      <c r="C180" s="15">
        <v>10</v>
      </c>
      <c r="D180" s="44">
        <v>140</v>
      </c>
      <c r="E180" s="44">
        <f t="shared" si="3"/>
        <v>1400</v>
      </c>
      <c r="G180" s="203"/>
    </row>
    <row r="181" spans="1:7" ht="15.75" thickBot="1" x14ac:dyDescent="0.3">
      <c r="A181" s="559" t="s">
        <v>473</v>
      </c>
      <c r="B181" s="32" t="s">
        <v>716</v>
      </c>
      <c r="C181" s="15">
        <v>9</v>
      </c>
      <c r="D181" s="44">
        <v>250</v>
      </c>
      <c r="E181" s="44">
        <f t="shared" si="3"/>
        <v>2250</v>
      </c>
      <c r="G181" s="30"/>
    </row>
    <row r="182" spans="1:7" ht="15.75" thickBot="1" x14ac:dyDescent="0.3">
      <c r="A182" s="559" t="s">
        <v>473</v>
      </c>
      <c r="B182" s="32" t="s">
        <v>507</v>
      </c>
      <c r="C182" s="15">
        <v>56</v>
      </c>
      <c r="D182" s="44">
        <v>135</v>
      </c>
      <c r="E182" s="44">
        <f t="shared" si="3"/>
        <v>7560</v>
      </c>
      <c r="G182" s="30"/>
    </row>
    <row r="183" spans="1:7" ht="15.75" thickBot="1" x14ac:dyDescent="0.3">
      <c r="A183" s="559" t="s">
        <v>473</v>
      </c>
      <c r="B183" s="32" t="s">
        <v>509</v>
      </c>
      <c r="C183" s="15">
        <v>56</v>
      </c>
      <c r="D183" s="44">
        <v>210</v>
      </c>
      <c r="E183" s="44">
        <f t="shared" si="3"/>
        <v>11760</v>
      </c>
      <c r="G183" s="30"/>
    </row>
    <row r="184" spans="1:7" ht="15.75" thickBot="1" x14ac:dyDescent="0.3">
      <c r="A184" s="559" t="s">
        <v>473</v>
      </c>
      <c r="B184" s="32" t="s">
        <v>499</v>
      </c>
      <c r="C184" s="15">
        <v>9</v>
      </c>
      <c r="D184" s="44">
        <f>627000/650</f>
        <v>964.61538461538464</v>
      </c>
      <c r="E184" s="44">
        <f t="shared" si="3"/>
        <v>8681.538461538461</v>
      </c>
      <c r="G184" s="203"/>
    </row>
    <row r="185" spans="1:7" ht="15.75" thickBot="1" x14ac:dyDescent="0.3">
      <c r="A185" s="559" t="s">
        <v>473</v>
      </c>
      <c r="B185" s="32" t="s">
        <v>110</v>
      </c>
      <c r="C185" s="15">
        <v>4</v>
      </c>
      <c r="D185" s="44">
        <v>5572</v>
      </c>
      <c r="E185" s="44">
        <f t="shared" si="3"/>
        <v>22288</v>
      </c>
      <c r="G185" s="30"/>
    </row>
    <row r="186" spans="1:7" ht="15.75" thickBot="1" x14ac:dyDescent="0.3">
      <c r="A186" s="559" t="s">
        <v>473</v>
      </c>
      <c r="B186" s="32" t="s">
        <v>513</v>
      </c>
      <c r="C186" s="15">
        <v>20</v>
      </c>
      <c r="D186" s="44">
        <v>1200</v>
      </c>
      <c r="E186" s="44">
        <f t="shared" si="3"/>
        <v>24000</v>
      </c>
      <c r="G186" s="30"/>
    </row>
    <row r="187" spans="1:7" ht="15.75" thickBot="1" x14ac:dyDescent="0.3">
      <c r="A187" s="559" t="s">
        <v>473</v>
      </c>
      <c r="B187" s="32" t="s">
        <v>104</v>
      </c>
      <c r="C187" s="15">
        <v>1</v>
      </c>
      <c r="D187" s="44">
        <v>19274</v>
      </c>
      <c r="E187" s="44">
        <f t="shared" si="3"/>
        <v>19274</v>
      </c>
      <c r="G187" s="30"/>
    </row>
    <row r="188" spans="1:7" ht="15.75" thickBot="1" x14ac:dyDescent="0.3">
      <c r="A188" s="559" t="s">
        <v>473</v>
      </c>
      <c r="B188" s="32" t="s">
        <v>515</v>
      </c>
      <c r="C188" s="15">
        <v>5</v>
      </c>
      <c r="D188" s="44">
        <v>48</v>
      </c>
      <c r="E188" s="44">
        <f t="shared" si="3"/>
        <v>240</v>
      </c>
      <c r="G188" s="30"/>
    </row>
    <row r="189" spans="1:7" ht="15.75" thickBot="1" x14ac:dyDescent="0.3">
      <c r="A189" s="559" t="s">
        <v>473</v>
      </c>
      <c r="B189" s="32" t="s">
        <v>717</v>
      </c>
      <c r="C189" s="15">
        <v>13</v>
      </c>
      <c r="D189" s="44">
        <v>18750</v>
      </c>
      <c r="E189" s="44">
        <f t="shared" si="3"/>
        <v>243750</v>
      </c>
      <c r="G189" s="30"/>
    </row>
    <row r="190" spans="1:7" ht="15.75" thickBot="1" x14ac:dyDescent="0.3">
      <c r="A190" s="560" t="s">
        <v>473</v>
      </c>
      <c r="B190" s="57" t="s">
        <v>112</v>
      </c>
      <c r="C190" s="51">
        <v>54</v>
      </c>
      <c r="D190" s="44">
        <v>450</v>
      </c>
      <c r="E190" s="44">
        <f t="shared" si="3"/>
        <v>24300</v>
      </c>
      <c r="G190" s="205"/>
    </row>
    <row r="191" spans="1:7" ht="17.25" thickBot="1" x14ac:dyDescent="0.3">
      <c r="A191" s="112"/>
      <c r="B191" s="112" t="s">
        <v>516</v>
      </c>
      <c r="C191" s="112"/>
      <c r="D191" s="201"/>
      <c r="E191" s="201">
        <f>SUM(E159:E190)</f>
        <v>1362775.5384615385</v>
      </c>
      <c r="G191" s="201"/>
    </row>
    <row r="192" spans="1:7" x14ac:dyDescent="0.25">
      <c r="G192" s="27"/>
    </row>
    <row r="193" spans="1:7" x14ac:dyDescent="0.25">
      <c r="G193" s="27"/>
    </row>
    <row r="194" spans="1:7" ht="15.75" thickBot="1" x14ac:dyDescent="0.3">
      <c r="G194" s="27"/>
    </row>
    <row r="195" spans="1:7" ht="33.75" thickBot="1" x14ac:dyDescent="0.3">
      <c r="A195" s="198" t="s">
        <v>228</v>
      </c>
      <c r="B195" s="198" t="s">
        <v>85</v>
      </c>
      <c r="C195" s="198" t="s">
        <v>229</v>
      </c>
      <c r="D195" s="25" t="s">
        <v>123</v>
      </c>
      <c r="E195" s="25" t="s">
        <v>230</v>
      </c>
      <c r="G195" s="25"/>
    </row>
    <row r="196" spans="1:7" ht="15.75" thickBot="1" x14ac:dyDescent="0.3">
      <c r="A196" s="558" t="s">
        <v>517</v>
      </c>
      <c r="B196" s="48" t="s">
        <v>521</v>
      </c>
      <c r="C196" s="47">
        <v>130</v>
      </c>
      <c r="D196" s="44">
        <v>1753</v>
      </c>
      <c r="E196" s="44">
        <f t="shared" ref="E196:E222" si="4">D196*C196</f>
        <v>227890</v>
      </c>
      <c r="G196" s="204"/>
    </row>
    <row r="197" spans="1:7" ht="15.75" thickBot="1" x14ac:dyDescent="0.3">
      <c r="A197" s="559" t="s">
        <v>517</v>
      </c>
      <c r="B197" s="32" t="s">
        <v>533</v>
      </c>
      <c r="C197" s="15">
        <v>4</v>
      </c>
      <c r="D197" s="44">
        <v>2089.48</v>
      </c>
      <c r="E197" s="44">
        <f t="shared" si="4"/>
        <v>8357.92</v>
      </c>
      <c r="G197" s="203"/>
    </row>
    <row r="198" spans="1:7" ht="15.75" thickBot="1" x14ac:dyDescent="0.3">
      <c r="A198" s="559" t="s">
        <v>517</v>
      </c>
      <c r="B198" s="32" t="s">
        <v>126</v>
      </c>
      <c r="C198" s="15">
        <v>1</v>
      </c>
      <c r="D198" s="44">
        <v>8540</v>
      </c>
      <c r="E198" s="44">
        <f t="shared" si="4"/>
        <v>8540</v>
      </c>
      <c r="G198" s="30"/>
    </row>
    <row r="199" spans="1:7" ht="45.75" thickBot="1" x14ac:dyDescent="0.3">
      <c r="A199" s="559" t="s">
        <v>517</v>
      </c>
      <c r="B199" s="32" t="s">
        <v>129</v>
      </c>
      <c r="C199" s="15">
        <v>2</v>
      </c>
      <c r="D199" s="44">
        <v>244998.75</v>
      </c>
      <c r="E199" s="44">
        <f t="shared" si="4"/>
        <v>489997.5</v>
      </c>
      <c r="G199" s="203"/>
    </row>
    <row r="200" spans="1:7" ht="30.75" thickBot="1" x14ac:dyDescent="0.3">
      <c r="A200" s="559" t="s">
        <v>517</v>
      </c>
      <c r="B200" s="32" t="s">
        <v>131</v>
      </c>
      <c r="C200" s="15">
        <v>2</v>
      </c>
      <c r="D200" s="44">
        <v>54499</v>
      </c>
      <c r="E200" s="44">
        <f t="shared" si="4"/>
        <v>108998</v>
      </c>
      <c r="G200" s="203"/>
    </row>
    <row r="201" spans="1:7" ht="30.75" thickBot="1" x14ac:dyDescent="0.3">
      <c r="A201" s="559" t="s">
        <v>517</v>
      </c>
      <c r="B201" s="32" t="s">
        <v>133</v>
      </c>
      <c r="C201" s="15">
        <v>4</v>
      </c>
      <c r="D201" s="44">
        <v>57249</v>
      </c>
      <c r="E201" s="44">
        <f t="shared" si="4"/>
        <v>228996</v>
      </c>
      <c r="G201" s="203"/>
    </row>
    <row r="202" spans="1:7" ht="15.75" thickBot="1" x14ac:dyDescent="0.3">
      <c r="A202" s="559" t="s">
        <v>517</v>
      </c>
      <c r="B202" s="32" t="s">
        <v>718</v>
      </c>
      <c r="C202" s="15">
        <v>1</v>
      </c>
      <c r="D202" s="44">
        <v>10400</v>
      </c>
      <c r="E202" s="44">
        <f t="shared" si="4"/>
        <v>10400</v>
      </c>
      <c r="G202" s="30"/>
    </row>
    <row r="203" spans="1:7" ht="30.75" thickBot="1" x14ac:dyDescent="0.3">
      <c r="A203" s="559" t="s">
        <v>517</v>
      </c>
      <c r="B203" s="32" t="s">
        <v>523</v>
      </c>
      <c r="C203" s="15">
        <v>8</v>
      </c>
      <c r="D203" s="44">
        <v>710</v>
      </c>
      <c r="E203" s="44">
        <f t="shared" si="4"/>
        <v>5680</v>
      </c>
      <c r="G203" s="30"/>
    </row>
    <row r="204" spans="1:7" ht="15.75" thickBot="1" x14ac:dyDescent="0.3">
      <c r="A204" s="559" t="s">
        <v>517</v>
      </c>
      <c r="B204" s="32" t="s">
        <v>525</v>
      </c>
      <c r="C204" s="15">
        <v>8</v>
      </c>
      <c r="D204" s="44">
        <v>659.99</v>
      </c>
      <c r="E204" s="44">
        <f t="shared" si="4"/>
        <v>5279.92</v>
      </c>
      <c r="G204" s="203"/>
    </row>
    <row r="205" spans="1:7" ht="15.75" thickBot="1" x14ac:dyDescent="0.3">
      <c r="A205" s="559" t="s">
        <v>517</v>
      </c>
      <c r="B205" s="32" t="s">
        <v>527</v>
      </c>
      <c r="C205" s="15">
        <v>45</v>
      </c>
      <c r="D205" s="44">
        <v>2410.9</v>
      </c>
      <c r="E205" s="44">
        <f t="shared" si="4"/>
        <v>108490.5</v>
      </c>
      <c r="G205" s="203"/>
    </row>
    <row r="206" spans="1:7" ht="15.75" thickBot="1" x14ac:dyDescent="0.3">
      <c r="A206" s="559" t="s">
        <v>517</v>
      </c>
      <c r="B206" s="32" t="s">
        <v>136</v>
      </c>
      <c r="C206" s="15">
        <v>13</v>
      </c>
      <c r="D206" s="44">
        <v>11022</v>
      </c>
      <c r="E206" s="44">
        <f t="shared" si="4"/>
        <v>143286</v>
      </c>
      <c r="G206" s="30"/>
    </row>
    <row r="207" spans="1:7" ht="30.75" thickBot="1" x14ac:dyDescent="0.3">
      <c r="A207" s="559" t="s">
        <v>517</v>
      </c>
      <c r="B207" s="32" t="s">
        <v>530</v>
      </c>
      <c r="C207" s="15">
        <v>52</v>
      </c>
      <c r="D207" s="44">
        <v>2134</v>
      </c>
      <c r="E207" s="44">
        <f t="shared" si="4"/>
        <v>110968</v>
      </c>
      <c r="G207" s="30"/>
    </row>
    <row r="208" spans="1:7" ht="15.75" thickBot="1" x14ac:dyDescent="0.3">
      <c r="A208" s="559" t="s">
        <v>517</v>
      </c>
      <c r="B208" s="32" t="s">
        <v>138</v>
      </c>
      <c r="C208" s="15">
        <v>2</v>
      </c>
      <c r="D208" s="44">
        <v>250260</v>
      </c>
      <c r="E208" s="44">
        <f t="shared" si="4"/>
        <v>500520</v>
      </c>
      <c r="G208" s="203"/>
    </row>
    <row r="209" spans="1:7" ht="15.75" thickBot="1" x14ac:dyDescent="0.3">
      <c r="A209" s="559" t="s">
        <v>517</v>
      </c>
      <c r="B209" s="32" t="s">
        <v>140</v>
      </c>
      <c r="C209" s="15">
        <v>2</v>
      </c>
      <c r="D209" s="44">
        <v>75650</v>
      </c>
      <c r="E209" s="44">
        <f t="shared" si="4"/>
        <v>151300</v>
      </c>
      <c r="G209" s="203"/>
    </row>
    <row r="210" spans="1:7" ht="15.75" thickBot="1" x14ac:dyDescent="0.3">
      <c r="A210" s="559" t="s">
        <v>517</v>
      </c>
      <c r="B210" s="32" t="s">
        <v>142</v>
      </c>
      <c r="C210" s="15">
        <v>2</v>
      </c>
      <c r="D210" s="44">
        <v>181147</v>
      </c>
      <c r="E210" s="44">
        <f t="shared" si="4"/>
        <v>362294</v>
      </c>
      <c r="G210" s="203"/>
    </row>
    <row r="211" spans="1:7" ht="15.75" thickBot="1" x14ac:dyDescent="0.3">
      <c r="A211" s="559" t="s">
        <v>517</v>
      </c>
      <c r="B211" s="32" t="s">
        <v>144</v>
      </c>
      <c r="C211" s="15">
        <v>6</v>
      </c>
      <c r="D211" s="44">
        <v>247000</v>
      </c>
      <c r="E211" s="44">
        <f t="shared" si="4"/>
        <v>1482000</v>
      </c>
      <c r="G211" s="203"/>
    </row>
    <row r="212" spans="1:7" ht="15.75" thickBot="1" x14ac:dyDescent="0.3">
      <c r="A212" s="559" t="s">
        <v>517</v>
      </c>
      <c r="B212" s="32" t="s">
        <v>146</v>
      </c>
      <c r="C212" s="15">
        <v>1</v>
      </c>
      <c r="D212" s="44">
        <v>12740</v>
      </c>
      <c r="E212" s="44">
        <f t="shared" si="4"/>
        <v>12740</v>
      </c>
      <c r="G212" s="203"/>
    </row>
    <row r="213" spans="1:7" ht="15.75" thickBot="1" x14ac:dyDescent="0.3">
      <c r="A213" s="559" t="s">
        <v>517</v>
      </c>
      <c r="B213" s="32" t="s">
        <v>148</v>
      </c>
      <c r="C213" s="15">
        <v>1</v>
      </c>
      <c r="D213" s="44">
        <v>24190</v>
      </c>
      <c r="E213" s="44">
        <f t="shared" si="4"/>
        <v>24190</v>
      </c>
      <c r="G213" s="203"/>
    </row>
    <row r="214" spans="1:7" ht="15.75" thickBot="1" x14ac:dyDescent="0.3">
      <c r="A214" s="559" t="s">
        <v>517</v>
      </c>
      <c r="B214" s="32" t="s">
        <v>150</v>
      </c>
      <c r="C214" s="15">
        <v>1</v>
      </c>
      <c r="D214" s="44">
        <v>61950</v>
      </c>
      <c r="E214" s="44">
        <f t="shared" si="4"/>
        <v>61950</v>
      </c>
      <c r="G214" s="30"/>
    </row>
    <row r="215" spans="1:7" ht="15.75" thickBot="1" x14ac:dyDescent="0.3">
      <c r="A215" s="559" t="s">
        <v>517</v>
      </c>
      <c r="B215" s="32" t="s">
        <v>152</v>
      </c>
      <c r="C215" s="15">
        <v>3</v>
      </c>
      <c r="D215" s="44">
        <v>22080</v>
      </c>
      <c r="E215" s="44">
        <f t="shared" si="4"/>
        <v>66240</v>
      </c>
      <c r="G215" s="203"/>
    </row>
    <row r="216" spans="1:7" ht="15.75" thickBot="1" x14ac:dyDescent="0.3">
      <c r="A216" s="559" t="s">
        <v>517</v>
      </c>
      <c r="B216" s="32" t="s">
        <v>154</v>
      </c>
      <c r="C216" s="15">
        <v>1</v>
      </c>
      <c r="D216" s="44">
        <v>16630</v>
      </c>
      <c r="E216" s="44">
        <f t="shared" si="4"/>
        <v>16630</v>
      </c>
      <c r="G216" s="30"/>
    </row>
    <row r="217" spans="1:7" ht="15.75" thickBot="1" x14ac:dyDescent="0.3">
      <c r="A217" s="559" t="s">
        <v>517</v>
      </c>
      <c r="B217" s="32" t="s">
        <v>156</v>
      </c>
      <c r="C217" s="15">
        <v>1</v>
      </c>
      <c r="D217" s="44">
        <v>72745</v>
      </c>
      <c r="E217" s="44">
        <f t="shared" si="4"/>
        <v>72745</v>
      </c>
      <c r="G217" s="203"/>
    </row>
    <row r="218" spans="1:7" ht="15.75" thickBot="1" x14ac:dyDescent="0.3">
      <c r="A218" s="559" t="s">
        <v>517</v>
      </c>
      <c r="B218" s="32" t="s">
        <v>158</v>
      </c>
      <c r="C218" s="15">
        <v>2</v>
      </c>
      <c r="D218" s="44">
        <v>18224</v>
      </c>
      <c r="E218" s="44">
        <f t="shared" si="4"/>
        <v>36448</v>
      </c>
      <c r="G218" s="203"/>
    </row>
    <row r="219" spans="1:7" ht="15.75" thickBot="1" x14ac:dyDescent="0.3">
      <c r="A219" s="559" t="s">
        <v>517</v>
      </c>
      <c r="B219" s="32" t="s">
        <v>160</v>
      </c>
      <c r="C219" s="15">
        <v>2</v>
      </c>
      <c r="D219" s="44">
        <v>47215</v>
      </c>
      <c r="E219" s="44">
        <f t="shared" si="4"/>
        <v>94430</v>
      </c>
      <c r="G219" s="30"/>
    </row>
    <row r="220" spans="1:7" ht="15.75" thickBot="1" x14ac:dyDescent="0.3">
      <c r="A220" s="559" t="s">
        <v>517</v>
      </c>
      <c r="B220" s="32" t="s">
        <v>162</v>
      </c>
      <c r="C220" s="15">
        <v>3</v>
      </c>
      <c r="D220" s="44">
        <v>108900</v>
      </c>
      <c r="E220" s="44">
        <f t="shared" si="4"/>
        <v>326700</v>
      </c>
      <c r="G220" s="203"/>
    </row>
    <row r="221" spans="1:7" ht="30.75" thickBot="1" x14ac:dyDescent="0.3">
      <c r="A221" s="559" t="s">
        <v>517</v>
      </c>
      <c r="B221" s="32" t="s">
        <v>164</v>
      </c>
      <c r="C221" s="15">
        <v>4</v>
      </c>
      <c r="D221" s="44">
        <v>48964</v>
      </c>
      <c r="E221" s="44">
        <f t="shared" si="4"/>
        <v>195856</v>
      </c>
      <c r="G221" s="30"/>
    </row>
    <row r="222" spans="1:7" ht="15.75" thickBot="1" x14ac:dyDescent="0.3">
      <c r="A222" s="560" t="s">
        <v>517</v>
      </c>
      <c r="B222" s="57" t="s">
        <v>166</v>
      </c>
      <c r="C222" s="51">
        <v>2</v>
      </c>
      <c r="D222" s="44">
        <v>2692.3</v>
      </c>
      <c r="E222" s="44">
        <f t="shared" si="4"/>
        <v>5384.6</v>
      </c>
      <c r="G222" s="205"/>
    </row>
    <row r="223" spans="1:7" ht="17.25" thickBot="1" x14ac:dyDescent="0.3">
      <c r="A223" s="112"/>
      <c r="B223" s="112" t="s">
        <v>534</v>
      </c>
      <c r="C223" s="112"/>
      <c r="D223" s="201"/>
      <c r="E223" s="201">
        <f>SUM(E196:E222)</f>
        <v>4866311.4399999995</v>
      </c>
      <c r="G223" s="201"/>
    </row>
    <row r="224" spans="1:7" x14ac:dyDescent="0.25">
      <c r="G224" s="27"/>
    </row>
    <row r="225" spans="1:7" ht="15.75" thickBot="1" x14ac:dyDescent="0.3">
      <c r="G225" s="27"/>
    </row>
    <row r="226" spans="1:7" ht="33.75" thickBot="1" x14ac:dyDescent="0.3">
      <c r="A226" s="198" t="s">
        <v>228</v>
      </c>
      <c r="B226" s="198" t="s">
        <v>85</v>
      </c>
      <c r="C226" s="198" t="s">
        <v>229</v>
      </c>
      <c r="D226" s="201" t="s">
        <v>123</v>
      </c>
      <c r="E226" s="201" t="s">
        <v>230</v>
      </c>
      <c r="G226" s="201"/>
    </row>
    <row r="227" spans="1:7" ht="15.75" thickBot="1" x14ac:dyDescent="0.3">
      <c r="A227" s="558" t="s">
        <v>535</v>
      </c>
      <c r="B227" s="48" t="s">
        <v>169</v>
      </c>
      <c r="C227" s="47">
        <v>8</v>
      </c>
      <c r="D227" s="44">
        <f>79000*1.15</f>
        <v>90850</v>
      </c>
      <c r="E227" s="44">
        <f t="shared" ref="E227:E236" si="5">D227*C227</f>
        <v>726800</v>
      </c>
      <c r="G227" s="204"/>
    </row>
    <row r="228" spans="1:7" ht="30.75" thickBot="1" x14ac:dyDescent="0.3">
      <c r="A228" s="559" t="s">
        <v>535</v>
      </c>
      <c r="B228" s="32" t="s">
        <v>172</v>
      </c>
      <c r="C228" s="15">
        <v>9</v>
      </c>
      <c r="D228" s="44">
        <v>4932</v>
      </c>
      <c r="E228" s="44">
        <f t="shared" si="5"/>
        <v>44388</v>
      </c>
      <c r="G228" s="30"/>
    </row>
    <row r="229" spans="1:7" ht="15.75" thickBot="1" x14ac:dyDescent="0.3">
      <c r="A229" s="559" t="s">
        <v>535</v>
      </c>
      <c r="B229" s="32" t="s">
        <v>174</v>
      </c>
      <c r="C229" s="15">
        <v>18</v>
      </c>
      <c r="D229" s="44">
        <v>92</v>
      </c>
      <c r="E229" s="44">
        <f t="shared" si="5"/>
        <v>1656</v>
      </c>
      <c r="G229" s="30"/>
    </row>
    <row r="230" spans="1:7" ht="15.75" thickBot="1" x14ac:dyDescent="0.3">
      <c r="A230" s="559" t="s">
        <v>535</v>
      </c>
      <c r="B230" s="32" t="s">
        <v>177</v>
      </c>
      <c r="C230" s="15">
        <v>9</v>
      </c>
      <c r="D230" s="44">
        <v>65</v>
      </c>
      <c r="E230" s="44">
        <f t="shared" si="5"/>
        <v>585</v>
      </c>
      <c r="G230" s="30"/>
    </row>
    <row r="231" spans="1:7" ht="15.75" thickBot="1" x14ac:dyDescent="0.3">
      <c r="A231" s="559" t="s">
        <v>535</v>
      </c>
      <c r="B231" s="32" t="s">
        <v>538</v>
      </c>
      <c r="C231" s="15">
        <v>9</v>
      </c>
      <c r="D231" s="44">
        <v>2750</v>
      </c>
      <c r="E231" s="44">
        <f t="shared" si="5"/>
        <v>24750</v>
      </c>
      <c r="G231" s="30"/>
    </row>
    <row r="232" spans="1:7" ht="30.75" thickBot="1" x14ac:dyDescent="0.3">
      <c r="A232" s="559" t="s">
        <v>535</v>
      </c>
      <c r="B232" s="32" t="s">
        <v>540</v>
      </c>
      <c r="C232" s="15">
        <v>9</v>
      </c>
      <c r="D232" s="44">
        <v>1240</v>
      </c>
      <c r="E232" s="44">
        <f t="shared" si="5"/>
        <v>11160</v>
      </c>
      <c r="G232" s="30"/>
    </row>
    <row r="233" spans="1:7" ht="15.75" thickBot="1" x14ac:dyDescent="0.3">
      <c r="A233" s="559" t="s">
        <v>535</v>
      </c>
      <c r="B233" s="32" t="s">
        <v>542</v>
      </c>
      <c r="C233" s="15">
        <v>9</v>
      </c>
      <c r="D233" s="44">
        <v>62</v>
      </c>
      <c r="E233" s="44">
        <f t="shared" si="5"/>
        <v>558</v>
      </c>
      <c r="G233" s="30"/>
    </row>
    <row r="234" spans="1:7" ht="15.75" thickBot="1" x14ac:dyDescent="0.3">
      <c r="A234" s="559" t="s">
        <v>535</v>
      </c>
      <c r="B234" s="32" t="s">
        <v>544</v>
      </c>
      <c r="C234" s="15">
        <v>9</v>
      </c>
      <c r="D234" s="44">
        <v>65</v>
      </c>
      <c r="E234" s="44">
        <f t="shared" si="5"/>
        <v>585</v>
      </c>
      <c r="G234" s="30"/>
    </row>
    <row r="235" spans="1:7" ht="30.75" thickBot="1" x14ac:dyDescent="0.3">
      <c r="A235" s="559" t="s">
        <v>535</v>
      </c>
      <c r="B235" s="32" t="s">
        <v>546</v>
      </c>
      <c r="C235" s="15">
        <v>9</v>
      </c>
      <c r="D235" s="44">
        <v>500</v>
      </c>
      <c r="E235" s="44">
        <f t="shared" si="5"/>
        <v>4500</v>
      </c>
      <c r="G235" s="30"/>
    </row>
    <row r="236" spans="1:7" ht="15.75" thickBot="1" x14ac:dyDescent="0.3">
      <c r="A236" s="560" t="s">
        <v>535</v>
      </c>
      <c r="B236" s="57" t="s">
        <v>548</v>
      </c>
      <c r="C236" s="51">
        <v>9</v>
      </c>
      <c r="D236" s="44">
        <v>218</v>
      </c>
      <c r="E236" s="44">
        <f t="shared" si="5"/>
        <v>1962</v>
      </c>
      <c r="G236" s="200"/>
    </row>
    <row r="237" spans="1:7" ht="17.25" thickBot="1" x14ac:dyDescent="0.3">
      <c r="A237" s="112"/>
      <c r="B237" s="112" t="s">
        <v>549</v>
      </c>
      <c r="C237" s="112"/>
      <c r="D237" s="201"/>
      <c r="E237" s="201">
        <f>SUM(E227:E236)</f>
        <v>816944</v>
      </c>
      <c r="G237" s="201"/>
    </row>
    <row r="238" spans="1:7" x14ac:dyDescent="0.25">
      <c r="G238" s="27"/>
    </row>
    <row r="239" spans="1:7" ht="15.75" thickBot="1" x14ac:dyDescent="0.3">
      <c r="G239" s="27"/>
    </row>
    <row r="240" spans="1:7" ht="33.75" thickBot="1" x14ac:dyDescent="0.3">
      <c r="A240" s="198" t="s">
        <v>228</v>
      </c>
      <c r="B240" s="198" t="s">
        <v>85</v>
      </c>
      <c r="C240" s="198" t="s">
        <v>229</v>
      </c>
      <c r="D240" s="201" t="s">
        <v>123</v>
      </c>
      <c r="E240" s="201" t="s">
        <v>230</v>
      </c>
      <c r="G240" s="201"/>
    </row>
    <row r="241" spans="1:8" ht="33.75" thickBot="1" x14ac:dyDescent="0.3">
      <c r="A241" s="112" t="s">
        <v>552</v>
      </c>
      <c r="B241" s="93" t="s">
        <v>182</v>
      </c>
      <c r="C241" s="128">
        <v>30</v>
      </c>
      <c r="D241" s="44">
        <v>1000</v>
      </c>
      <c r="E241" s="44">
        <f t="shared" ref="E241" si="6">D241*C241</f>
        <v>30000</v>
      </c>
      <c r="G241" s="213"/>
    </row>
    <row r="242" spans="1:8" ht="17.25" thickBot="1" x14ac:dyDescent="0.3">
      <c r="A242" s="112"/>
      <c r="B242" s="112" t="s">
        <v>553</v>
      </c>
      <c r="C242" s="112"/>
      <c r="D242" s="201"/>
      <c r="E242" s="201">
        <f>+E241</f>
        <v>30000</v>
      </c>
      <c r="G242" s="201"/>
    </row>
    <row r="243" spans="1:8" x14ac:dyDescent="0.25">
      <c r="G243" s="27"/>
    </row>
    <row r="244" spans="1:8" ht="15.75" thickBot="1" x14ac:dyDescent="0.3">
      <c r="G244" s="27"/>
    </row>
    <row r="245" spans="1:8" ht="33.75" thickBot="1" x14ac:dyDescent="0.3">
      <c r="A245" s="198" t="s">
        <v>228</v>
      </c>
      <c r="B245" s="198" t="s">
        <v>85</v>
      </c>
      <c r="C245" s="198" t="s">
        <v>229</v>
      </c>
      <c r="D245" s="25" t="s">
        <v>123</v>
      </c>
      <c r="E245" s="25" t="s">
        <v>556</v>
      </c>
      <c r="G245" s="25"/>
    </row>
    <row r="246" spans="1:8" ht="15.75" thickBot="1" x14ac:dyDescent="0.3">
      <c r="A246" s="553" t="s">
        <v>554</v>
      </c>
      <c r="B246" s="48" t="s">
        <v>188</v>
      </c>
      <c r="C246" s="47">
        <v>9</v>
      </c>
      <c r="D246" s="44">
        <v>2856</v>
      </c>
      <c r="E246" s="44">
        <f t="shared" ref="E246:E256" si="7">D246*C246</f>
        <v>25704</v>
      </c>
      <c r="G246" s="204"/>
    </row>
    <row r="247" spans="1:8" ht="15.75" thickBot="1" x14ac:dyDescent="0.3">
      <c r="A247" s="554"/>
      <c r="B247" s="32" t="s">
        <v>723</v>
      </c>
      <c r="C247" s="15">
        <v>9</v>
      </c>
      <c r="D247" s="44">
        <v>458.39</v>
      </c>
      <c r="E247" s="44">
        <f t="shared" si="7"/>
        <v>4125.51</v>
      </c>
      <c r="G247" s="203"/>
    </row>
    <row r="248" spans="1:8" ht="15.75" thickBot="1" x14ac:dyDescent="0.3">
      <c r="A248" s="554"/>
      <c r="B248" s="32" t="s">
        <v>560</v>
      </c>
      <c r="C248" s="15">
        <v>9</v>
      </c>
      <c r="D248" s="44">
        <v>2562</v>
      </c>
      <c r="E248" s="44">
        <f t="shared" si="7"/>
        <v>23058</v>
      </c>
      <c r="G248" s="30"/>
    </row>
    <row r="249" spans="1:8" ht="15.75" thickBot="1" x14ac:dyDescent="0.3">
      <c r="A249" s="554"/>
      <c r="B249" s="32" t="s">
        <v>191</v>
      </c>
      <c r="C249" s="15">
        <v>5</v>
      </c>
      <c r="D249" s="44">
        <v>9040</v>
      </c>
      <c r="E249" s="44">
        <f t="shared" si="7"/>
        <v>45200</v>
      </c>
      <c r="G249" s="30"/>
    </row>
    <row r="250" spans="1:8" ht="15.75" thickBot="1" x14ac:dyDescent="0.3">
      <c r="A250" s="554"/>
      <c r="B250" s="32" t="s">
        <v>562</v>
      </c>
      <c r="C250" s="15">
        <v>9</v>
      </c>
      <c r="D250" s="44">
        <v>709</v>
      </c>
      <c r="E250" s="44">
        <f t="shared" si="7"/>
        <v>6381</v>
      </c>
      <c r="G250" s="203"/>
    </row>
    <row r="251" spans="1:8" ht="15.75" thickBot="1" x14ac:dyDescent="0.3">
      <c r="A251" s="554"/>
      <c r="B251" s="32" t="s">
        <v>564</v>
      </c>
      <c r="C251" s="15">
        <v>9</v>
      </c>
      <c r="D251" s="44">
        <v>164</v>
      </c>
      <c r="E251" s="44">
        <f t="shared" si="7"/>
        <v>1476</v>
      </c>
      <c r="G251" s="30"/>
    </row>
    <row r="252" spans="1:8" ht="15.75" thickBot="1" x14ac:dyDescent="0.3">
      <c r="A252" s="554"/>
      <c r="B252" s="32" t="s">
        <v>193</v>
      </c>
      <c r="C252" s="15">
        <v>1</v>
      </c>
      <c r="D252" s="44">
        <v>12000</v>
      </c>
      <c r="E252" s="44">
        <f t="shared" si="7"/>
        <v>12000</v>
      </c>
      <c r="G252" s="203"/>
    </row>
    <row r="253" spans="1:8" ht="15.75" thickBot="1" x14ac:dyDescent="0.3">
      <c r="A253" s="554"/>
      <c r="B253" s="32" t="s">
        <v>566</v>
      </c>
      <c r="C253" s="15">
        <v>23</v>
      </c>
      <c r="D253" s="44">
        <v>70</v>
      </c>
      <c r="E253" s="44">
        <f t="shared" si="7"/>
        <v>1610</v>
      </c>
      <c r="G253" s="30"/>
    </row>
    <row r="254" spans="1:8" ht="15.75" thickBot="1" x14ac:dyDescent="0.3">
      <c r="A254" s="554"/>
      <c r="B254" s="32" t="s">
        <v>568</v>
      </c>
      <c r="C254" s="15">
        <v>7</v>
      </c>
      <c r="D254" s="44">
        <v>2900</v>
      </c>
      <c r="E254" s="44">
        <f t="shared" si="7"/>
        <v>20300</v>
      </c>
      <c r="G254" s="203"/>
      <c r="H254" s="212"/>
    </row>
    <row r="255" spans="1:8" ht="15.75" thickBot="1" x14ac:dyDescent="0.3">
      <c r="A255" s="554"/>
      <c r="B255" s="32" t="s">
        <v>195</v>
      </c>
      <c r="C255" s="15">
        <v>10</v>
      </c>
      <c r="D255" s="44">
        <v>1300</v>
      </c>
      <c r="E255" s="44">
        <f t="shared" si="7"/>
        <v>13000</v>
      </c>
      <c r="G255" s="30"/>
    </row>
    <row r="256" spans="1:8" ht="15.75" thickBot="1" x14ac:dyDescent="0.3">
      <c r="A256" s="561"/>
      <c r="B256" s="57" t="s">
        <v>570</v>
      </c>
      <c r="C256" s="51">
        <v>10</v>
      </c>
      <c r="D256" s="44">
        <v>212</v>
      </c>
      <c r="E256" s="44">
        <f t="shared" si="7"/>
        <v>2120</v>
      </c>
      <c r="G256" s="200"/>
    </row>
    <row r="257" spans="1:7" ht="17.25" thickBot="1" x14ac:dyDescent="0.3">
      <c r="A257" s="112"/>
      <c r="B257" s="112" t="s">
        <v>571</v>
      </c>
      <c r="C257" s="112"/>
      <c r="D257" s="201"/>
      <c r="E257" s="201">
        <f>SUM(E246:E256)</f>
        <v>154974.51</v>
      </c>
      <c r="G257" s="201"/>
    </row>
    <row r="258" spans="1:7" x14ac:dyDescent="0.25">
      <c r="G258" s="27"/>
    </row>
    <row r="259" spans="1:7" x14ac:dyDescent="0.25">
      <c r="G259" s="27"/>
    </row>
    <row r="260" spans="1:7" ht="15.75" thickBot="1" x14ac:dyDescent="0.3">
      <c r="G260" s="27"/>
    </row>
    <row r="261" spans="1:7" ht="33.75" thickBot="1" x14ac:dyDescent="0.3">
      <c r="A261" s="198" t="s">
        <v>228</v>
      </c>
      <c r="B261" s="198" t="s">
        <v>85</v>
      </c>
      <c r="C261" s="198" t="s">
        <v>229</v>
      </c>
      <c r="D261" s="25" t="s">
        <v>123</v>
      </c>
      <c r="E261" s="25" t="s">
        <v>230</v>
      </c>
      <c r="G261" s="25"/>
    </row>
    <row r="262" spans="1:7" ht="15.75" thickBot="1" x14ac:dyDescent="0.3">
      <c r="A262" s="562" t="s">
        <v>572</v>
      </c>
      <c r="B262" s="104" t="s">
        <v>197</v>
      </c>
      <c r="C262" s="47">
        <v>2</v>
      </c>
      <c r="D262" s="44">
        <v>68118</v>
      </c>
      <c r="E262" s="44">
        <f t="shared" ref="E262:E264" si="8">D262*C262</f>
        <v>136236</v>
      </c>
      <c r="G262" s="204"/>
    </row>
    <row r="263" spans="1:7" ht="15.75" thickBot="1" x14ac:dyDescent="0.3">
      <c r="A263" s="563"/>
      <c r="B263" s="105" t="s">
        <v>199</v>
      </c>
      <c r="C263" s="15">
        <v>5</v>
      </c>
      <c r="D263" s="44">
        <v>24460</v>
      </c>
      <c r="E263" s="44">
        <f t="shared" si="8"/>
        <v>122300</v>
      </c>
      <c r="G263" s="203"/>
    </row>
    <row r="264" spans="1:7" ht="15.75" thickBot="1" x14ac:dyDescent="0.3">
      <c r="A264" s="564"/>
      <c r="B264" s="106" t="s">
        <v>201</v>
      </c>
      <c r="C264" s="51">
        <v>2</v>
      </c>
      <c r="D264" s="44">
        <v>2493</v>
      </c>
      <c r="E264" s="44">
        <f t="shared" si="8"/>
        <v>4986</v>
      </c>
      <c r="G264" s="200"/>
    </row>
    <row r="265" spans="1:7" ht="17.25" thickBot="1" x14ac:dyDescent="0.3">
      <c r="A265" s="112"/>
      <c r="B265" s="112" t="s">
        <v>574</v>
      </c>
      <c r="C265" s="112"/>
      <c r="D265" s="201"/>
      <c r="E265" s="201">
        <f>SUM(E262:E264)</f>
        <v>263522</v>
      </c>
      <c r="G265" s="201"/>
    </row>
    <row r="266" spans="1:7" x14ac:dyDescent="0.25">
      <c r="G266" s="27"/>
    </row>
    <row r="267" spans="1:7" x14ac:dyDescent="0.25">
      <c r="G267" s="27"/>
    </row>
    <row r="268" spans="1:7" ht="15.75" thickBot="1" x14ac:dyDescent="0.3">
      <c r="G268" s="27"/>
    </row>
    <row r="269" spans="1:7" ht="33.75" thickBot="1" x14ac:dyDescent="0.3">
      <c r="A269" s="198" t="s">
        <v>228</v>
      </c>
      <c r="B269" s="112" t="s">
        <v>85</v>
      </c>
      <c r="C269" s="112" t="s">
        <v>229</v>
      </c>
      <c r="D269" s="201" t="s">
        <v>123</v>
      </c>
      <c r="E269" s="201" t="s">
        <v>230</v>
      </c>
      <c r="G269" s="201"/>
    </row>
    <row r="270" spans="1:7" ht="33.75" thickBot="1" x14ac:dyDescent="0.3">
      <c r="A270" s="112" t="s">
        <v>575</v>
      </c>
      <c r="B270" s="107" t="s">
        <v>686</v>
      </c>
      <c r="C270" s="197">
        <v>1</v>
      </c>
      <c r="D270" s="44">
        <v>172012</v>
      </c>
      <c r="E270" s="44">
        <f t="shared" ref="E270" si="9">D270*C270</f>
        <v>172012</v>
      </c>
      <c r="G270" s="213"/>
    </row>
    <row r="271" spans="1:7" ht="17.25" thickBot="1" x14ac:dyDescent="0.3">
      <c r="A271" s="112"/>
      <c r="B271" s="112" t="s">
        <v>577</v>
      </c>
      <c r="C271" s="112"/>
      <c r="D271" s="201"/>
      <c r="E271" s="201">
        <f>+E270</f>
        <v>172012</v>
      </c>
      <c r="G271" s="201"/>
    </row>
    <row r="272" spans="1:7" x14ac:dyDescent="0.25">
      <c r="G272" s="27"/>
    </row>
    <row r="273" spans="1:7" ht="15.75" thickBot="1" x14ac:dyDescent="0.3">
      <c r="G273" s="27"/>
    </row>
    <row r="274" spans="1:7" ht="33.75" thickBot="1" x14ac:dyDescent="0.3">
      <c r="A274" s="198" t="s">
        <v>228</v>
      </c>
      <c r="B274" s="198" t="s">
        <v>85</v>
      </c>
      <c r="C274" s="112" t="s">
        <v>229</v>
      </c>
      <c r="D274" s="25" t="s">
        <v>123</v>
      </c>
      <c r="E274" s="25" t="s">
        <v>230</v>
      </c>
      <c r="G274" s="25"/>
    </row>
    <row r="275" spans="1:7" ht="50.25" thickBot="1" x14ac:dyDescent="0.3">
      <c r="A275" s="112" t="s">
        <v>578</v>
      </c>
      <c r="B275" s="109" t="s">
        <v>205</v>
      </c>
      <c r="C275" s="197">
        <v>1</v>
      </c>
      <c r="D275" s="44">
        <f>D227</f>
        <v>90850</v>
      </c>
      <c r="E275" s="44">
        <f t="shared" ref="E275" si="10">D275*C275</f>
        <v>90850</v>
      </c>
      <c r="G275" s="206"/>
    </row>
    <row r="276" spans="1:7" ht="17.25" thickBot="1" x14ac:dyDescent="0.3">
      <c r="A276" s="112"/>
      <c r="B276" s="112" t="s">
        <v>580</v>
      </c>
      <c r="C276" s="112"/>
      <c r="D276" s="201"/>
      <c r="E276" s="201">
        <f>+E275</f>
        <v>90850</v>
      </c>
      <c r="G276" s="201"/>
    </row>
    <row r="277" spans="1:7" x14ac:dyDescent="0.25">
      <c r="G277" s="27"/>
    </row>
    <row r="278" spans="1:7" ht="15.75" thickBot="1" x14ac:dyDescent="0.3">
      <c r="G278" s="27"/>
    </row>
    <row r="279" spans="1:7" ht="33.75" thickBot="1" x14ac:dyDescent="0.3">
      <c r="A279" s="198" t="s">
        <v>228</v>
      </c>
      <c r="B279" s="198" t="s">
        <v>85</v>
      </c>
      <c r="C279" s="198" t="s">
        <v>229</v>
      </c>
      <c r="D279" s="25" t="s">
        <v>123</v>
      </c>
      <c r="E279" s="25" t="s">
        <v>230</v>
      </c>
      <c r="G279" s="25"/>
    </row>
    <row r="280" spans="1:7" ht="30.75" thickBot="1" x14ac:dyDescent="0.3">
      <c r="A280" s="558" t="s">
        <v>581</v>
      </c>
      <c r="B280" s="48" t="s">
        <v>208</v>
      </c>
      <c r="C280" s="47">
        <v>14</v>
      </c>
      <c r="D280" s="44">
        <v>570</v>
      </c>
      <c r="E280" s="44">
        <f t="shared" ref="E280:E283" si="11">D280*C280</f>
        <v>7980</v>
      </c>
      <c r="G280" s="44"/>
    </row>
    <row r="281" spans="1:7" ht="30.75" thickBot="1" x14ac:dyDescent="0.3">
      <c r="A281" s="559" t="s">
        <v>581</v>
      </c>
      <c r="B281" s="32" t="s">
        <v>210</v>
      </c>
      <c r="C281" s="15">
        <v>8</v>
      </c>
      <c r="D281" s="44">
        <f>3334*1.19</f>
        <v>3967.46</v>
      </c>
      <c r="E281" s="44">
        <f t="shared" si="11"/>
        <v>31739.68</v>
      </c>
      <c r="G281" s="203"/>
    </row>
    <row r="282" spans="1:7" ht="30.75" thickBot="1" x14ac:dyDescent="0.3">
      <c r="A282" s="559" t="s">
        <v>581</v>
      </c>
      <c r="B282" s="32" t="s">
        <v>584</v>
      </c>
      <c r="C282" s="15">
        <v>14</v>
      </c>
      <c r="D282" s="44">
        <v>24870</v>
      </c>
      <c r="E282" s="44">
        <f t="shared" si="11"/>
        <v>348180</v>
      </c>
      <c r="G282" s="203"/>
    </row>
    <row r="283" spans="1:7" ht="15.75" thickBot="1" x14ac:dyDescent="0.3">
      <c r="A283" s="560" t="s">
        <v>581</v>
      </c>
      <c r="B283" s="57" t="s">
        <v>212</v>
      </c>
      <c r="C283" s="51">
        <v>8</v>
      </c>
      <c r="D283" s="44">
        <v>42800</v>
      </c>
      <c r="E283" s="44">
        <f t="shared" si="11"/>
        <v>342400</v>
      </c>
      <c r="G283" s="205"/>
    </row>
    <row r="284" spans="1:7" ht="17.25" thickBot="1" x14ac:dyDescent="0.3">
      <c r="A284" s="112"/>
      <c r="B284" s="112" t="s">
        <v>585</v>
      </c>
      <c r="C284" s="112"/>
      <c r="D284" s="201"/>
      <c r="E284" s="201">
        <f>SUM(E280:E283)</f>
        <v>730299.67999999993</v>
      </c>
      <c r="G284" s="201"/>
    </row>
    <row r="285" spans="1:7" x14ac:dyDescent="0.25">
      <c r="G285" s="27"/>
    </row>
    <row r="286" spans="1:7" ht="15.75" thickBot="1" x14ac:dyDescent="0.3">
      <c r="G286" s="27"/>
    </row>
    <row r="287" spans="1:7" ht="33.75" thickBot="1" x14ac:dyDescent="0.3">
      <c r="A287" s="198" t="s">
        <v>228</v>
      </c>
      <c r="B287" s="198" t="s">
        <v>85</v>
      </c>
      <c r="C287" s="198" t="s">
        <v>229</v>
      </c>
      <c r="D287" s="25" t="s">
        <v>123</v>
      </c>
      <c r="E287" s="25" t="s">
        <v>230</v>
      </c>
      <c r="G287" s="25"/>
    </row>
    <row r="288" spans="1:7" ht="15.75" thickBot="1" x14ac:dyDescent="0.3">
      <c r="A288" s="565" t="s">
        <v>586</v>
      </c>
      <c r="B288" s="48" t="s">
        <v>214</v>
      </c>
      <c r="C288" s="47">
        <v>1</v>
      </c>
      <c r="D288" s="44">
        <v>1600</v>
      </c>
      <c r="E288" s="44">
        <f>D288*C288</f>
        <v>1600</v>
      </c>
      <c r="G288" s="204"/>
    </row>
    <row r="289" spans="1:7" ht="15.75" thickBot="1" x14ac:dyDescent="0.3">
      <c r="A289" s="566"/>
      <c r="B289" s="32" t="s">
        <v>216</v>
      </c>
      <c r="C289" s="15">
        <v>1</v>
      </c>
      <c r="D289" s="44">
        <v>3058</v>
      </c>
      <c r="E289" s="44">
        <f t="shared" ref="E289:E292" si="12">D289*C289</f>
        <v>3058</v>
      </c>
      <c r="G289" s="203"/>
    </row>
    <row r="290" spans="1:7" ht="15.75" thickBot="1" x14ac:dyDescent="0.3">
      <c r="A290" s="566"/>
      <c r="B290" s="32" t="s">
        <v>218</v>
      </c>
      <c r="C290" s="15">
        <v>4</v>
      </c>
      <c r="D290" s="44">
        <v>2880</v>
      </c>
      <c r="E290" s="44">
        <f t="shared" si="12"/>
        <v>11520</v>
      </c>
      <c r="G290" s="203"/>
    </row>
    <row r="291" spans="1:7" ht="15.75" thickBot="1" x14ac:dyDescent="0.3">
      <c r="A291" s="566"/>
      <c r="B291" s="32" t="s">
        <v>220</v>
      </c>
      <c r="C291" s="15">
        <v>1</v>
      </c>
      <c r="D291" s="44">
        <v>1990</v>
      </c>
      <c r="E291" s="44">
        <f t="shared" si="12"/>
        <v>1990</v>
      </c>
      <c r="G291" s="203"/>
    </row>
    <row r="292" spans="1:7" ht="15.75" thickBot="1" x14ac:dyDescent="0.3">
      <c r="A292" s="567"/>
      <c r="B292" s="57" t="s">
        <v>222</v>
      </c>
      <c r="C292" s="51">
        <v>1</v>
      </c>
      <c r="D292" s="44">
        <v>43500</v>
      </c>
      <c r="E292" s="44">
        <f t="shared" si="12"/>
        <v>43500</v>
      </c>
      <c r="G292" s="205"/>
    </row>
    <row r="293" spans="1:7" ht="17.25" thickBot="1" x14ac:dyDescent="0.3">
      <c r="A293" s="112"/>
      <c r="B293" s="112" t="s">
        <v>588</v>
      </c>
      <c r="C293" s="112"/>
      <c r="D293" s="201"/>
      <c r="E293" s="201">
        <f>SUM(E288:E292)</f>
        <v>61668</v>
      </c>
      <c r="G293" s="201"/>
    </row>
    <row r="295" spans="1:7" ht="15.75" thickBot="1" x14ac:dyDescent="0.3"/>
    <row r="296" spans="1:7" ht="17.25" thickBot="1" x14ac:dyDescent="0.3">
      <c r="E296" s="201">
        <f>E293+E284+E276+E271+E265+E257+E242+E237+E223+E191+E153+E109++E49</f>
        <v>25231706.994615383</v>
      </c>
      <c r="F296" s="256"/>
    </row>
    <row r="303" spans="1:7" ht="15.75" thickBot="1" x14ac:dyDescent="0.3"/>
    <row r="304" spans="1:7" ht="50.25" customHeight="1" thickBot="1" x14ac:dyDescent="0.3">
      <c r="A304" s="575" t="s">
        <v>725</v>
      </c>
      <c r="B304" s="555" t="s">
        <v>726</v>
      </c>
      <c r="C304" s="555"/>
      <c r="D304" s="580" t="s">
        <v>230</v>
      </c>
      <c r="E304" s="581"/>
    </row>
    <row r="305" spans="1:10" ht="33.75" customHeight="1" thickBot="1" x14ac:dyDescent="0.3">
      <c r="A305" s="576"/>
      <c r="B305" s="556" t="s">
        <v>734</v>
      </c>
      <c r="C305" s="557"/>
      <c r="D305" s="582">
        <f>E49</f>
        <v>8040336</v>
      </c>
      <c r="E305" s="583"/>
    </row>
    <row r="306" spans="1:10" ht="17.25" thickBot="1" x14ac:dyDescent="0.3">
      <c r="A306" s="576"/>
      <c r="B306" s="556" t="s">
        <v>727</v>
      </c>
      <c r="C306" s="557"/>
      <c r="D306" s="582">
        <f>E154</f>
        <v>8642013.8261538483</v>
      </c>
      <c r="E306" s="583"/>
    </row>
    <row r="307" spans="1:10" ht="17.25" thickBot="1" x14ac:dyDescent="0.3">
      <c r="A307" s="576"/>
      <c r="B307" s="556" t="s">
        <v>728</v>
      </c>
      <c r="C307" s="557"/>
      <c r="D307" s="582">
        <f>E191</f>
        <v>1362775.5384615385</v>
      </c>
      <c r="E307" s="583"/>
    </row>
    <row r="308" spans="1:10" ht="17.25" thickBot="1" x14ac:dyDescent="0.3">
      <c r="A308" s="576"/>
      <c r="B308" s="556" t="s">
        <v>729</v>
      </c>
      <c r="C308" s="557"/>
      <c r="D308" s="582">
        <f>E223</f>
        <v>4866311.4399999995</v>
      </c>
      <c r="E308" s="583"/>
    </row>
    <row r="309" spans="1:10" ht="17.25" thickBot="1" x14ac:dyDescent="0.3">
      <c r="A309" s="576"/>
      <c r="B309" s="568" t="s">
        <v>730</v>
      </c>
      <c r="C309" s="569"/>
      <c r="D309" s="573">
        <f>E237</f>
        <v>816944</v>
      </c>
      <c r="E309" s="574"/>
    </row>
    <row r="310" spans="1:10" ht="17.25" thickBot="1" x14ac:dyDescent="0.3">
      <c r="A310" s="576"/>
      <c r="B310" s="568" t="s">
        <v>731</v>
      </c>
      <c r="C310" s="569"/>
      <c r="D310" s="573">
        <f>E242</f>
        <v>30000</v>
      </c>
      <c r="E310" s="574"/>
    </row>
    <row r="311" spans="1:10" ht="17.25" thickBot="1" x14ac:dyDescent="0.3">
      <c r="A311" s="576"/>
      <c r="B311" s="568" t="s">
        <v>732</v>
      </c>
      <c r="C311" s="569"/>
      <c r="D311" s="573">
        <f>E257</f>
        <v>154974.51</v>
      </c>
      <c r="E311" s="574"/>
    </row>
    <row r="312" spans="1:10" ht="17.25" thickBot="1" x14ac:dyDescent="0.3">
      <c r="A312" s="576"/>
      <c r="B312" s="568" t="s">
        <v>735</v>
      </c>
      <c r="C312" s="569"/>
      <c r="D312" s="573">
        <f>E265</f>
        <v>263522</v>
      </c>
      <c r="E312" s="574"/>
    </row>
    <row r="313" spans="1:10" ht="17.25" thickBot="1" x14ac:dyDescent="0.3">
      <c r="A313" s="576"/>
      <c r="B313" s="568" t="s">
        <v>736</v>
      </c>
      <c r="C313" s="569"/>
      <c r="D313" s="573">
        <f>E271</f>
        <v>172012</v>
      </c>
      <c r="E313" s="574"/>
    </row>
    <row r="314" spans="1:10" ht="17.25" thickBot="1" x14ac:dyDescent="0.3">
      <c r="A314" s="576"/>
      <c r="B314" s="568" t="s">
        <v>737</v>
      </c>
      <c r="C314" s="569"/>
      <c r="D314" s="573">
        <f>E276</f>
        <v>90850</v>
      </c>
      <c r="E314" s="574"/>
    </row>
    <row r="315" spans="1:10" ht="17.25" thickBot="1" x14ac:dyDescent="0.3">
      <c r="A315" s="576"/>
      <c r="B315" s="568" t="s">
        <v>733</v>
      </c>
      <c r="C315" s="569"/>
      <c r="D315" s="573">
        <f>E284</f>
        <v>730299.67999999993</v>
      </c>
      <c r="E315" s="574"/>
    </row>
    <row r="316" spans="1:10" ht="17.25" thickBot="1" x14ac:dyDescent="0.3">
      <c r="A316" s="576"/>
      <c r="B316" s="568" t="s">
        <v>738</v>
      </c>
      <c r="C316" s="569"/>
      <c r="D316" s="573">
        <f>E293</f>
        <v>61668</v>
      </c>
      <c r="E316" s="574"/>
    </row>
    <row r="317" spans="1:10" ht="19.5" thickBot="1" x14ac:dyDescent="0.3">
      <c r="A317" s="577"/>
      <c r="B317" s="578" t="s">
        <v>96</v>
      </c>
      <c r="C317" s="579"/>
      <c r="D317" s="573">
        <f>SUM(D305:E316)</f>
        <v>25231706.994615387</v>
      </c>
      <c r="E317" s="574"/>
    </row>
    <row r="319" spans="1:10" ht="15.75" thickBot="1" x14ac:dyDescent="0.3"/>
    <row r="320" spans="1:10" ht="17.25" thickBot="1" x14ac:dyDescent="0.3">
      <c r="B320" s="568"/>
      <c r="C320" s="569"/>
      <c r="H320" s="570" t="s">
        <v>741</v>
      </c>
      <c r="I320" s="571"/>
      <c r="J320" s="260">
        <f>D317</f>
        <v>25231706.994615387</v>
      </c>
    </row>
    <row r="321" spans="7:11" ht="15.75" thickBot="1" x14ac:dyDescent="0.3"/>
    <row r="322" spans="7:11" ht="15.75" thickBot="1" x14ac:dyDescent="0.3">
      <c r="H322" s="570" t="s">
        <v>742</v>
      </c>
      <c r="I322" s="571"/>
      <c r="J322" s="260">
        <f>G327+H327+I327+J327</f>
        <v>11850000</v>
      </c>
    </row>
    <row r="324" spans="7:11" ht="15.75" thickBot="1" x14ac:dyDescent="0.3"/>
    <row r="325" spans="7:11" ht="15.75" thickBot="1" x14ac:dyDescent="0.3">
      <c r="G325" s="570" t="s">
        <v>225</v>
      </c>
      <c r="H325" s="571"/>
      <c r="I325" s="572"/>
      <c r="J325" s="258" t="s">
        <v>226</v>
      </c>
      <c r="K325" s="259" t="s">
        <v>740</v>
      </c>
    </row>
    <row r="326" spans="7:11" ht="15.75" thickBot="1" x14ac:dyDescent="0.3">
      <c r="G326" s="258">
        <v>2021</v>
      </c>
      <c r="H326" s="258">
        <v>2022</v>
      </c>
      <c r="I326" s="258">
        <v>2023</v>
      </c>
      <c r="J326" s="258">
        <v>2025</v>
      </c>
      <c r="K326" s="258" t="s">
        <v>739</v>
      </c>
    </row>
    <row r="327" spans="7:11" ht="17.25" thickBot="1" x14ac:dyDescent="0.3">
      <c r="G327" s="201">
        <v>2550000</v>
      </c>
      <c r="H327" s="201">
        <v>2500000</v>
      </c>
      <c r="I327" s="201">
        <v>2500000</v>
      </c>
      <c r="J327" s="201">
        <v>4300000</v>
      </c>
      <c r="K327" s="201">
        <f>25230906.99-SUM(G327:J327)</f>
        <v>13380906.989999998</v>
      </c>
    </row>
    <row r="329" spans="7:11" ht="15.75" thickBot="1" x14ac:dyDescent="0.3"/>
    <row r="330" spans="7:11" ht="30" customHeight="1" thickBot="1" x14ac:dyDescent="0.3">
      <c r="G330" s="541" t="s">
        <v>745</v>
      </c>
      <c r="H330" s="542"/>
      <c r="I330" s="543"/>
      <c r="J330" s="270">
        <f>J322</f>
        <v>11850000</v>
      </c>
    </row>
  </sheetData>
  <mergeCells count="47">
    <mergeCell ref="B320:C320"/>
    <mergeCell ref="D317:E317"/>
    <mergeCell ref="A304:A317"/>
    <mergeCell ref="B317:C317"/>
    <mergeCell ref="D304:E304"/>
    <mergeCell ref="D305:E305"/>
    <mergeCell ref="D306:E306"/>
    <mergeCell ref="D307:E307"/>
    <mergeCell ref="D308:E308"/>
    <mergeCell ref="D309:E309"/>
    <mergeCell ref="D310:E310"/>
    <mergeCell ref="D311:E311"/>
    <mergeCell ref="D312:E312"/>
    <mergeCell ref="B316:C316"/>
    <mergeCell ref="B311:C311"/>
    <mergeCell ref="B312:C312"/>
    <mergeCell ref="G325:I325"/>
    <mergeCell ref="H320:I320"/>
    <mergeCell ref="D313:E313"/>
    <mergeCell ref="D314:E314"/>
    <mergeCell ref="D315:E315"/>
    <mergeCell ref="D316:E316"/>
    <mergeCell ref="H322:I322"/>
    <mergeCell ref="B313:C313"/>
    <mergeCell ref="B314:C314"/>
    <mergeCell ref="B315:C315"/>
    <mergeCell ref="B306:C306"/>
    <mergeCell ref="B307:C307"/>
    <mergeCell ref="B308:C308"/>
    <mergeCell ref="B309:C309"/>
    <mergeCell ref="B310:C310"/>
    <mergeCell ref="G330:I330"/>
    <mergeCell ref="G126:G128"/>
    <mergeCell ref="E126:E128"/>
    <mergeCell ref="A3:A48"/>
    <mergeCell ref="A54:A108"/>
    <mergeCell ref="A111:A152"/>
    <mergeCell ref="D126:D128"/>
    <mergeCell ref="B304:C304"/>
    <mergeCell ref="B305:C305"/>
    <mergeCell ref="A159:A190"/>
    <mergeCell ref="A246:A256"/>
    <mergeCell ref="A262:A264"/>
    <mergeCell ref="A280:A283"/>
    <mergeCell ref="A288:A292"/>
    <mergeCell ref="A196:A222"/>
    <mergeCell ref="A227:A23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276"/>
  <sheetViews>
    <sheetView tabSelected="1" topLeftCell="C130" zoomScaleNormal="100" workbookViewId="0">
      <selection activeCell="U145" sqref="U145"/>
    </sheetView>
  </sheetViews>
  <sheetFormatPr baseColWidth="10" defaultRowHeight="15" x14ac:dyDescent="0.25"/>
  <cols>
    <col min="1" max="1" width="15.7109375" hidden="1" customWidth="1"/>
    <col min="2" max="2" width="8.28515625" customWidth="1"/>
    <col min="3" max="3" width="19" customWidth="1"/>
    <col min="4" max="4" width="30" customWidth="1"/>
    <col min="5" max="5" width="7.7109375" customWidth="1"/>
    <col min="6" max="6" width="51.5703125" customWidth="1"/>
    <col min="7" max="7" width="18.7109375" customWidth="1"/>
    <col min="8" max="8" width="16.7109375" customWidth="1"/>
    <col min="9" max="9" width="18.28515625" style="111" hidden="1" customWidth="1"/>
    <col min="10" max="10" width="9.28515625" hidden="1" customWidth="1"/>
    <col min="11" max="11" width="18.28515625" hidden="1" customWidth="1"/>
    <col min="12" max="12" width="11.42578125" hidden="1" customWidth="1"/>
    <col min="13" max="13" width="18.28515625" hidden="1" customWidth="1"/>
    <col min="14" max="14" width="9.42578125" hidden="1" customWidth="1"/>
    <col min="15" max="15" width="18" hidden="1" customWidth="1"/>
    <col min="16" max="16" width="9.42578125" hidden="1" customWidth="1"/>
    <col min="17" max="17" width="18.5703125" hidden="1" customWidth="1"/>
    <col min="18" max="18" width="17.7109375" customWidth="1"/>
    <col min="19" max="19" width="18.28515625" bestFit="1" customWidth="1"/>
    <col min="20" max="20" width="20.28515625" customWidth="1"/>
    <col min="21" max="21" width="14.5703125" bestFit="1" customWidth="1"/>
  </cols>
  <sheetData>
    <row r="1" spans="1:19" ht="47.25" customHeight="1" thickBot="1" x14ac:dyDescent="0.35">
      <c r="B1" s="660" t="s">
        <v>224</v>
      </c>
      <c r="C1" s="660"/>
      <c r="D1" s="660"/>
      <c r="E1" s="660"/>
      <c r="F1" s="660"/>
      <c r="G1" s="660"/>
      <c r="H1" s="660"/>
      <c r="I1" s="660"/>
      <c r="J1" s="660"/>
      <c r="K1" s="660"/>
      <c r="L1" s="660"/>
      <c r="M1" s="660"/>
      <c r="N1" s="660"/>
      <c r="O1" s="660"/>
      <c r="P1" s="660"/>
      <c r="Q1" s="660"/>
      <c r="R1" s="660"/>
      <c r="S1" s="660"/>
    </row>
    <row r="2" spans="1:19" ht="15.75" hidden="1" customHeight="1" thickBot="1" x14ac:dyDescent="0.35">
      <c r="J2" s="661" t="s">
        <v>225</v>
      </c>
      <c r="K2" s="661"/>
      <c r="L2" s="661"/>
      <c r="M2" s="661"/>
      <c r="N2" s="661"/>
      <c r="O2" s="661"/>
      <c r="P2" s="662" t="s">
        <v>226</v>
      </c>
      <c r="Q2" s="662"/>
    </row>
    <row r="3" spans="1:19" ht="15.75" customHeight="1" thickBot="1" x14ac:dyDescent="0.35">
      <c r="B3" s="195"/>
      <c r="C3" s="195"/>
      <c r="D3" s="195"/>
      <c r="E3" s="195"/>
      <c r="F3" s="195"/>
      <c r="G3" s="195"/>
      <c r="H3" s="195"/>
      <c r="I3" s="282"/>
      <c r="J3" s="663" t="s">
        <v>225</v>
      </c>
      <c r="K3" s="664"/>
      <c r="L3" s="664"/>
      <c r="M3" s="664"/>
      <c r="N3" s="664"/>
      <c r="O3" s="665"/>
      <c r="P3" s="663" t="s">
        <v>226</v>
      </c>
      <c r="Q3" s="665"/>
      <c r="R3" s="663" t="s">
        <v>227</v>
      </c>
      <c r="S3" s="665"/>
    </row>
    <row r="4" spans="1:19" ht="53.25" customHeight="1" thickBot="1" x14ac:dyDescent="0.35">
      <c r="A4" s="89" t="s">
        <v>228</v>
      </c>
      <c r="B4" s="89"/>
      <c r="C4" s="112"/>
      <c r="D4" s="89"/>
      <c r="E4" s="89"/>
      <c r="F4" s="89" t="s">
        <v>85</v>
      </c>
      <c r="G4" s="89" t="s">
        <v>229</v>
      </c>
      <c r="H4" s="89" t="s">
        <v>123</v>
      </c>
      <c r="I4" s="113" t="s">
        <v>230</v>
      </c>
      <c r="J4" s="89">
        <v>2021</v>
      </c>
      <c r="K4" s="89" t="s">
        <v>79</v>
      </c>
      <c r="L4" s="89">
        <v>2022</v>
      </c>
      <c r="M4" s="89" t="s">
        <v>79</v>
      </c>
      <c r="N4" s="89">
        <v>2023</v>
      </c>
      <c r="O4" s="89" t="s">
        <v>79</v>
      </c>
      <c r="P4" s="89">
        <v>2025</v>
      </c>
      <c r="Q4" s="89" t="s">
        <v>79</v>
      </c>
      <c r="R4" s="89" t="s">
        <v>78</v>
      </c>
      <c r="S4" s="89" t="s">
        <v>77</v>
      </c>
    </row>
    <row r="5" spans="1:19" ht="43.5" customHeight="1" thickTop="1" thickBot="1" x14ac:dyDescent="0.3">
      <c r="A5" s="550" t="s">
        <v>224</v>
      </c>
      <c r="B5" s="551" t="s">
        <v>231</v>
      </c>
      <c r="C5" s="550" t="s">
        <v>232</v>
      </c>
      <c r="D5" s="550" t="s">
        <v>233</v>
      </c>
      <c r="E5" s="47" t="s">
        <v>234</v>
      </c>
      <c r="F5" s="48" t="s">
        <v>235</v>
      </c>
      <c r="G5" s="47">
        <v>2</v>
      </c>
      <c r="H5" s="72">
        <f>'TABLA GENERAL'!D3</f>
        <v>35321</v>
      </c>
      <c r="I5" s="114">
        <v>70642</v>
      </c>
      <c r="J5" s="47">
        <v>0</v>
      </c>
      <c r="K5" s="60">
        <f>J5*H5</f>
        <v>0</v>
      </c>
      <c r="L5" s="47">
        <v>1</v>
      </c>
      <c r="M5" s="60">
        <f>L5*H5</f>
        <v>35321</v>
      </c>
      <c r="N5" s="47">
        <v>0</v>
      </c>
      <c r="O5" s="60">
        <f>N5*H5</f>
        <v>0</v>
      </c>
      <c r="P5" s="47">
        <v>0</v>
      </c>
      <c r="Q5" s="73">
        <f>P5*H5</f>
        <v>0</v>
      </c>
      <c r="R5" s="18">
        <f>P5+N5+L5+J5</f>
        <v>1</v>
      </c>
      <c r="S5" s="18">
        <f>Q5+O5+M5+K5</f>
        <v>35321</v>
      </c>
    </row>
    <row r="6" spans="1:19" ht="16.5" thickTop="1" thickBot="1" x14ac:dyDescent="0.3">
      <c r="A6" s="551"/>
      <c r="B6" s="551"/>
      <c r="C6" s="551"/>
      <c r="D6" s="551"/>
      <c r="E6" s="47" t="s">
        <v>236</v>
      </c>
      <c r="F6" s="32" t="s">
        <v>237</v>
      </c>
      <c r="G6" s="15">
        <v>2</v>
      </c>
      <c r="H6" s="59">
        <f>'TABLA GENERAL'!D4</f>
        <v>17579</v>
      </c>
      <c r="I6" s="115">
        <v>35158</v>
      </c>
      <c r="J6" s="15">
        <v>0</v>
      </c>
      <c r="K6" s="60">
        <f t="shared" ref="K6:K38" si="0">J6*H6</f>
        <v>0</v>
      </c>
      <c r="L6" s="15">
        <v>1</v>
      </c>
      <c r="M6" s="60">
        <f t="shared" ref="M6:M38" si="1">L6*H6</f>
        <v>17579</v>
      </c>
      <c r="N6" s="15">
        <v>0</v>
      </c>
      <c r="O6" s="60">
        <f t="shared" ref="O6:O38" si="2">N6*H6</f>
        <v>0</v>
      </c>
      <c r="P6" s="15">
        <v>0</v>
      </c>
      <c r="Q6" s="73">
        <f t="shared" ref="Q6:Q38" si="3">P6*H6</f>
        <v>0</v>
      </c>
      <c r="R6" s="18">
        <f t="shared" ref="R6:S38" si="4">P6+N6+L6+J6</f>
        <v>1</v>
      </c>
      <c r="S6" s="18">
        <f t="shared" si="4"/>
        <v>17579</v>
      </c>
    </row>
    <row r="7" spans="1:19" ht="16.5" thickTop="1" thickBot="1" x14ac:dyDescent="0.3">
      <c r="A7" s="551"/>
      <c r="B7" s="551"/>
      <c r="C7" s="551"/>
      <c r="D7" s="551"/>
      <c r="E7" s="47" t="s">
        <v>238</v>
      </c>
      <c r="F7" s="32" t="s">
        <v>239</v>
      </c>
      <c r="G7" s="15">
        <v>2</v>
      </c>
      <c r="H7" s="59">
        <f>'TABLA GENERAL'!D5</f>
        <v>24779</v>
      </c>
      <c r="I7" s="115">
        <v>49558</v>
      </c>
      <c r="J7" s="15">
        <v>0</v>
      </c>
      <c r="K7" s="60">
        <f t="shared" si="0"/>
        <v>0</v>
      </c>
      <c r="L7" s="15">
        <v>1</v>
      </c>
      <c r="M7" s="60">
        <f t="shared" si="1"/>
        <v>24779</v>
      </c>
      <c r="N7" s="15">
        <v>0</v>
      </c>
      <c r="O7" s="60">
        <f t="shared" si="2"/>
        <v>0</v>
      </c>
      <c r="P7" s="15">
        <v>0</v>
      </c>
      <c r="Q7" s="73">
        <f t="shared" si="3"/>
        <v>0</v>
      </c>
      <c r="R7" s="18">
        <f t="shared" si="4"/>
        <v>1</v>
      </c>
      <c r="S7" s="18">
        <f t="shared" si="4"/>
        <v>24779</v>
      </c>
    </row>
    <row r="8" spans="1:19" ht="16.5" thickTop="1" thickBot="1" x14ac:dyDescent="0.3">
      <c r="A8" s="551"/>
      <c r="B8" s="551"/>
      <c r="C8" s="551"/>
      <c r="D8" s="551"/>
      <c r="E8" s="47" t="s">
        <v>240</v>
      </c>
      <c r="F8" s="32" t="s">
        <v>241</v>
      </c>
      <c r="G8" s="15">
        <v>2</v>
      </c>
      <c r="H8" s="59">
        <f>'TABLA GENERAL'!D6</f>
        <v>22458</v>
      </c>
      <c r="I8" s="115">
        <v>44916</v>
      </c>
      <c r="J8" s="15">
        <v>0</v>
      </c>
      <c r="K8" s="60">
        <f t="shared" si="0"/>
        <v>0</v>
      </c>
      <c r="L8" s="15">
        <v>1</v>
      </c>
      <c r="M8" s="60">
        <f t="shared" si="1"/>
        <v>22458</v>
      </c>
      <c r="N8" s="15">
        <v>0</v>
      </c>
      <c r="O8" s="60">
        <f t="shared" si="2"/>
        <v>0</v>
      </c>
      <c r="P8" s="15">
        <v>0</v>
      </c>
      <c r="Q8" s="73">
        <f t="shared" si="3"/>
        <v>0</v>
      </c>
      <c r="R8" s="18">
        <f t="shared" si="4"/>
        <v>1</v>
      </c>
      <c r="S8" s="18">
        <f t="shared" si="4"/>
        <v>22458</v>
      </c>
    </row>
    <row r="9" spans="1:19" ht="31.5" thickTop="1" thickBot="1" x14ac:dyDescent="0.3">
      <c r="A9" s="551"/>
      <c r="B9" s="551"/>
      <c r="C9" s="551"/>
      <c r="D9" s="551"/>
      <c r="E9" s="47" t="s">
        <v>242</v>
      </c>
      <c r="F9" s="32" t="s">
        <v>243</v>
      </c>
      <c r="G9" s="15">
        <v>2</v>
      </c>
      <c r="H9" s="59">
        <f>'TABLA GENERAL'!D7</f>
        <v>63048</v>
      </c>
      <c r="I9" s="115">
        <v>126096</v>
      </c>
      <c r="J9" s="15">
        <v>0</v>
      </c>
      <c r="K9" s="60">
        <f t="shared" si="0"/>
        <v>0</v>
      </c>
      <c r="L9" s="15">
        <v>1</v>
      </c>
      <c r="M9" s="60">
        <f t="shared" si="1"/>
        <v>63048</v>
      </c>
      <c r="N9" s="47">
        <v>0</v>
      </c>
      <c r="O9" s="60">
        <f t="shared" si="2"/>
        <v>0</v>
      </c>
      <c r="P9" s="47">
        <v>0</v>
      </c>
      <c r="Q9" s="73">
        <f t="shared" si="3"/>
        <v>0</v>
      </c>
      <c r="R9" s="18">
        <f t="shared" si="4"/>
        <v>1</v>
      </c>
      <c r="S9" s="18">
        <f t="shared" si="4"/>
        <v>63048</v>
      </c>
    </row>
    <row r="10" spans="1:19" ht="31.5" thickTop="1" thickBot="1" x14ac:dyDescent="0.3">
      <c r="A10" s="551"/>
      <c r="B10" s="551"/>
      <c r="C10" s="551"/>
      <c r="D10" s="551"/>
      <c r="E10" s="47" t="s">
        <v>244</v>
      </c>
      <c r="F10" s="32" t="s">
        <v>245</v>
      </c>
      <c r="G10" s="15">
        <v>2</v>
      </c>
      <c r="H10" s="59">
        <f>'TABLA GENERAL'!D8</f>
        <v>81814</v>
      </c>
      <c r="I10" s="115">
        <v>163628</v>
      </c>
      <c r="J10" s="15">
        <v>0</v>
      </c>
      <c r="K10" s="60">
        <f t="shared" si="0"/>
        <v>0</v>
      </c>
      <c r="L10" s="15">
        <v>1</v>
      </c>
      <c r="M10" s="60">
        <f t="shared" si="1"/>
        <v>81814</v>
      </c>
      <c r="N10" s="15">
        <v>0</v>
      </c>
      <c r="O10" s="60">
        <f t="shared" si="2"/>
        <v>0</v>
      </c>
      <c r="P10" s="15">
        <v>0</v>
      </c>
      <c r="Q10" s="73">
        <f t="shared" si="3"/>
        <v>0</v>
      </c>
      <c r="R10" s="18">
        <f t="shared" si="4"/>
        <v>1</v>
      </c>
      <c r="S10" s="18">
        <f t="shared" si="4"/>
        <v>81814</v>
      </c>
    </row>
    <row r="11" spans="1:19" ht="16.5" thickTop="1" thickBot="1" x14ac:dyDescent="0.3">
      <c r="A11" s="551"/>
      <c r="B11" s="551"/>
      <c r="C11" s="551"/>
      <c r="D11" s="551"/>
      <c r="E11" s="47" t="s">
        <v>246</v>
      </c>
      <c r="F11" s="32" t="s">
        <v>247</v>
      </c>
      <c r="G11" s="15">
        <v>16</v>
      </c>
      <c r="H11" s="59">
        <f>'TABLA GENERAL'!D9</f>
        <v>141</v>
      </c>
      <c r="I11" s="115">
        <v>2256</v>
      </c>
      <c r="J11" s="15">
        <v>10</v>
      </c>
      <c r="K11" s="60">
        <f t="shared" si="0"/>
        <v>1410</v>
      </c>
      <c r="L11" s="15">
        <v>0</v>
      </c>
      <c r="M11" s="60">
        <f t="shared" si="1"/>
        <v>0</v>
      </c>
      <c r="N11" s="15">
        <v>0</v>
      </c>
      <c r="O11" s="60">
        <f t="shared" si="2"/>
        <v>0</v>
      </c>
      <c r="P11" s="15">
        <v>0</v>
      </c>
      <c r="Q11" s="73">
        <f t="shared" si="3"/>
        <v>0</v>
      </c>
      <c r="R11" s="18">
        <f t="shared" si="4"/>
        <v>10</v>
      </c>
      <c r="S11" s="18">
        <f t="shared" si="4"/>
        <v>1410</v>
      </c>
    </row>
    <row r="12" spans="1:19" ht="16.5" thickTop="1" thickBot="1" x14ac:dyDescent="0.3">
      <c r="A12" s="551"/>
      <c r="B12" s="551"/>
      <c r="C12" s="551"/>
      <c r="D12" s="551"/>
      <c r="E12" s="47" t="s">
        <v>248</v>
      </c>
      <c r="F12" s="32" t="s">
        <v>249</v>
      </c>
      <c r="G12" s="15">
        <v>16</v>
      </c>
      <c r="H12" s="59">
        <f>'TABLA GENERAL'!D10</f>
        <v>6243</v>
      </c>
      <c r="I12" s="115">
        <v>99888</v>
      </c>
      <c r="J12" s="15">
        <v>10</v>
      </c>
      <c r="K12" s="60">
        <f t="shared" si="0"/>
        <v>62430</v>
      </c>
      <c r="L12" s="15">
        <v>2</v>
      </c>
      <c r="M12" s="60">
        <f t="shared" si="1"/>
        <v>12486</v>
      </c>
      <c r="N12" s="15">
        <v>0</v>
      </c>
      <c r="O12" s="60">
        <f t="shared" si="2"/>
        <v>0</v>
      </c>
      <c r="P12" s="15">
        <v>0</v>
      </c>
      <c r="Q12" s="73">
        <f t="shared" si="3"/>
        <v>0</v>
      </c>
      <c r="R12" s="18">
        <f t="shared" si="4"/>
        <v>12</v>
      </c>
      <c r="S12" s="18">
        <f t="shared" si="4"/>
        <v>74916</v>
      </c>
    </row>
    <row r="13" spans="1:19" ht="16.5" thickTop="1" thickBot="1" x14ac:dyDescent="0.3">
      <c r="A13" s="551"/>
      <c r="B13" s="551"/>
      <c r="C13" s="551"/>
      <c r="D13" s="551"/>
      <c r="E13" s="47" t="s">
        <v>250</v>
      </c>
      <c r="F13" s="32" t="s">
        <v>251</v>
      </c>
      <c r="G13" s="15">
        <v>10</v>
      </c>
      <c r="H13" s="59">
        <f>'TABLA GENERAL'!D11</f>
        <v>6877</v>
      </c>
      <c r="I13" s="115">
        <v>68770</v>
      </c>
      <c r="J13" s="15">
        <v>10</v>
      </c>
      <c r="K13" s="60">
        <f t="shared" si="0"/>
        <v>68770</v>
      </c>
      <c r="L13" s="15">
        <v>0</v>
      </c>
      <c r="M13" s="60">
        <f t="shared" si="1"/>
        <v>0</v>
      </c>
      <c r="N13" s="47">
        <v>0</v>
      </c>
      <c r="O13" s="60">
        <f t="shared" si="2"/>
        <v>0</v>
      </c>
      <c r="P13" s="47">
        <v>0</v>
      </c>
      <c r="Q13" s="73">
        <f t="shared" si="3"/>
        <v>0</v>
      </c>
      <c r="R13" s="18">
        <f t="shared" si="4"/>
        <v>10</v>
      </c>
      <c r="S13" s="18">
        <f t="shared" si="4"/>
        <v>68770</v>
      </c>
    </row>
    <row r="14" spans="1:19" ht="16.5" thickTop="1" thickBot="1" x14ac:dyDescent="0.3">
      <c r="A14" s="551"/>
      <c r="B14" s="551"/>
      <c r="C14" s="551"/>
      <c r="D14" s="551"/>
      <c r="E14" s="47" t="s">
        <v>252</v>
      </c>
      <c r="F14" s="32" t="s">
        <v>253</v>
      </c>
      <c r="G14" s="15">
        <v>2</v>
      </c>
      <c r="H14" s="59">
        <f>'TABLA GENERAL'!D16</f>
        <v>27035</v>
      </c>
      <c r="I14" s="115">
        <v>54070</v>
      </c>
      <c r="J14" s="15">
        <v>1</v>
      </c>
      <c r="K14" s="60">
        <f t="shared" si="0"/>
        <v>27035</v>
      </c>
      <c r="L14" s="15">
        <v>0</v>
      </c>
      <c r="M14" s="60">
        <f t="shared" si="1"/>
        <v>0</v>
      </c>
      <c r="N14" s="15">
        <v>0</v>
      </c>
      <c r="O14" s="60">
        <f t="shared" si="2"/>
        <v>0</v>
      </c>
      <c r="P14" s="15">
        <v>0</v>
      </c>
      <c r="Q14" s="73">
        <f t="shared" si="3"/>
        <v>0</v>
      </c>
      <c r="R14" s="18">
        <f t="shared" si="4"/>
        <v>1</v>
      </c>
      <c r="S14" s="18">
        <f t="shared" si="4"/>
        <v>27035</v>
      </c>
    </row>
    <row r="15" spans="1:19" ht="16.5" thickTop="1" thickBot="1" x14ac:dyDescent="0.3">
      <c r="A15" s="551"/>
      <c r="B15" s="551"/>
      <c r="C15" s="551"/>
      <c r="D15" s="552"/>
      <c r="E15" s="47" t="s">
        <v>254</v>
      </c>
      <c r="F15" s="32" t="s">
        <v>255</v>
      </c>
      <c r="G15" s="15">
        <v>4</v>
      </c>
      <c r="H15" s="59">
        <f>'TABLA GENERAL'!D17</f>
        <v>421</v>
      </c>
      <c r="I15" s="115">
        <v>1684</v>
      </c>
      <c r="J15" s="15">
        <v>1</v>
      </c>
      <c r="K15" s="60">
        <f t="shared" si="0"/>
        <v>421</v>
      </c>
      <c r="L15" s="15">
        <v>0</v>
      </c>
      <c r="M15" s="60">
        <f t="shared" si="1"/>
        <v>0</v>
      </c>
      <c r="N15" s="15">
        <v>0</v>
      </c>
      <c r="O15" s="60">
        <f t="shared" si="2"/>
        <v>0</v>
      </c>
      <c r="P15" s="15">
        <v>0</v>
      </c>
      <c r="Q15" s="73">
        <f t="shared" si="3"/>
        <v>0</v>
      </c>
      <c r="R15" s="18">
        <f t="shared" si="4"/>
        <v>1</v>
      </c>
      <c r="S15" s="18">
        <f t="shared" si="4"/>
        <v>421</v>
      </c>
    </row>
    <row r="16" spans="1:19" ht="16.5" customHeight="1" thickTop="1" thickBot="1" x14ac:dyDescent="0.3">
      <c r="A16" s="551"/>
      <c r="B16" s="551"/>
      <c r="C16" s="551"/>
      <c r="D16" s="550" t="s">
        <v>256</v>
      </c>
      <c r="E16" s="47" t="s">
        <v>257</v>
      </c>
      <c r="F16" s="32" t="s">
        <v>258</v>
      </c>
      <c r="G16" s="15">
        <v>2</v>
      </c>
      <c r="H16" s="59">
        <f>'TABLA GENERAL'!D19</f>
        <v>27984</v>
      </c>
      <c r="I16" s="115">
        <v>55968</v>
      </c>
      <c r="J16" s="15">
        <v>0</v>
      </c>
      <c r="K16" s="60">
        <f t="shared" si="0"/>
        <v>0</v>
      </c>
      <c r="L16" s="15">
        <v>1</v>
      </c>
      <c r="M16" s="60">
        <f t="shared" si="1"/>
        <v>27984</v>
      </c>
      <c r="N16" s="47">
        <v>0</v>
      </c>
      <c r="O16" s="60">
        <f t="shared" si="2"/>
        <v>0</v>
      </c>
      <c r="P16" s="47">
        <v>0</v>
      </c>
      <c r="Q16" s="73">
        <f t="shared" si="3"/>
        <v>0</v>
      </c>
      <c r="R16" s="18">
        <f t="shared" si="4"/>
        <v>1</v>
      </c>
      <c r="S16" s="18">
        <f t="shared" si="4"/>
        <v>27984</v>
      </c>
    </row>
    <row r="17" spans="1:19" ht="16.5" customHeight="1" thickTop="1" thickBot="1" x14ac:dyDescent="0.3">
      <c r="A17" s="551"/>
      <c r="B17" s="551"/>
      <c r="C17" s="551"/>
      <c r="D17" s="551"/>
      <c r="E17" s="47" t="s">
        <v>259</v>
      </c>
      <c r="F17" s="32" t="s">
        <v>260</v>
      </c>
      <c r="G17" s="15">
        <v>14</v>
      </c>
      <c r="H17" s="59">
        <f>'TABLA GENERAL'!D20</f>
        <v>1655</v>
      </c>
      <c r="I17" s="115">
        <v>23170</v>
      </c>
      <c r="J17" s="15">
        <v>14</v>
      </c>
      <c r="K17" s="60">
        <f t="shared" si="0"/>
        <v>23170</v>
      </c>
      <c r="L17" s="15">
        <v>0</v>
      </c>
      <c r="M17" s="60">
        <f t="shared" si="1"/>
        <v>0</v>
      </c>
      <c r="N17" s="15">
        <v>0</v>
      </c>
      <c r="O17" s="60">
        <f t="shared" si="2"/>
        <v>0</v>
      </c>
      <c r="P17" s="15">
        <v>0</v>
      </c>
      <c r="Q17" s="73">
        <f t="shared" si="3"/>
        <v>0</v>
      </c>
      <c r="R17" s="18">
        <f t="shared" si="4"/>
        <v>14</v>
      </c>
      <c r="S17" s="18">
        <f t="shared" si="4"/>
        <v>23170</v>
      </c>
    </row>
    <row r="18" spans="1:19" ht="16.5" customHeight="1" thickTop="1" thickBot="1" x14ac:dyDescent="0.3">
      <c r="A18" s="551"/>
      <c r="B18" s="551"/>
      <c r="C18" s="551"/>
      <c r="D18" s="551"/>
      <c r="E18" s="47" t="s">
        <v>261</v>
      </c>
      <c r="F18" s="32" t="s">
        <v>262</v>
      </c>
      <c r="G18" s="15">
        <v>2</v>
      </c>
      <c r="H18" s="59">
        <f>'TABLA GENERAL'!D21</f>
        <v>11477</v>
      </c>
      <c r="I18" s="115">
        <v>22954</v>
      </c>
      <c r="J18" s="15">
        <v>1</v>
      </c>
      <c r="K18" s="60">
        <f t="shared" si="0"/>
        <v>11477</v>
      </c>
      <c r="L18" s="15">
        <v>0</v>
      </c>
      <c r="M18" s="60">
        <f t="shared" si="1"/>
        <v>0</v>
      </c>
      <c r="N18" s="15">
        <v>0</v>
      </c>
      <c r="O18" s="60">
        <f t="shared" si="2"/>
        <v>0</v>
      </c>
      <c r="P18" s="15">
        <v>0</v>
      </c>
      <c r="Q18" s="73">
        <f t="shared" si="3"/>
        <v>0</v>
      </c>
      <c r="R18" s="18">
        <f t="shared" si="4"/>
        <v>1</v>
      </c>
      <c r="S18" s="18">
        <f t="shared" si="4"/>
        <v>11477</v>
      </c>
    </row>
    <row r="19" spans="1:19" ht="16.5" customHeight="1" thickTop="1" thickBot="1" x14ac:dyDescent="0.3">
      <c r="A19" s="551"/>
      <c r="B19" s="551"/>
      <c r="C19" s="551"/>
      <c r="D19" s="551"/>
      <c r="E19" s="47" t="s">
        <v>263</v>
      </c>
      <c r="F19" s="32" t="s">
        <v>264</v>
      </c>
      <c r="G19" s="15">
        <v>1</v>
      </c>
      <c r="H19" s="59">
        <f>'TABLA GENERAL'!D22</f>
        <v>44356</v>
      </c>
      <c r="I19" s="115">
        <v>44356</v>
      </c>
      <c r="J19" s="15">
        <v>0</v>
      </c>
      <c r="K19" s="60">
        <f t="shared" si="0"/>
        <v>0</v>
      </c>
      <c r="L19" s="15">
        <v>1</v>
      </c>
      <c r="M19" s="60">
        <f t="shared" si="1"/>
        <v>44356</v>
      </c>
      <c r="N19" s="15">
        <v>0</v>
      </c>
      <c r="O19" s="60">
        <f t="shared" si="2"/>
        <v>0</v>
      </c>
      <c r="P19" s="15">
        <v>0</v>
      </c>
      <c r="Q19" s="73">
        <f t="shared" si="3"/>
        <v>0</v>
      </c>
      <c r="R19" s="18">
        <f t="shared" si="4"/>
        <v>1</v>
      </c>
      <c r="S19" s="18">
        <f t="shared" si="4"/>
        <v>44356</v>
      </c>
    </row>
    <row r="20" spans="1:19" ht="16.5" customHeight="1" thickTop="1" thickBot="1" x14ac:dyDescent="0.3">
      <c r="A20" s="551"/>
      <c r="B20" s="551"/>
      <c r="C20" s="551"/>
      <c r="D20" s="551"/>
      <c r="E20" s="47" t="s">
        <v>265</v>
      </c>
      <c r="F20" s="32" t="s">
        <v>266</v>
      </c>
      <c r="G20" s="15">
        <v>36</v>
      </c>
      <c r="H20" s="59">
        <f>'TABLA GENERAL'!D23</f>
        <v>107</v>
      </c>
      <c r="I20" s="115">
        <v>3852</v>
      </c>
      <c r="J20" s="15">
        <v>10</v>
      </c>
      <c r="K20" s="60">
        <f t="shared" si="0"/>
        <v>1070</v>
      </c>
      <c r="L20" s="15">
        <v>2</v>
      </c>
      <c r="M20" s="60">
        <f t="shared" si="1"/>
        <v>214</v>
      </c>
      <c r="N20" s="47">
        <v>0</v>
      </c>
      <c r="O20" s="60">
        <f t="shared" si="2"/>
        <v>0</v>
      </c>
      <c r="P20" s="47">
        <v>0</v>
      </c>
      <c r="Q20" s="73">
        <f t="shared" si="3"/>
        <v>0</v>
      </c>
      <c r="R20" s="18">
        <f t="shared" si="4"/>
        <v>12</v>
      </c>
      <c r="S20" s="18">
        <f t="shared" si="4"/>
        <v>1284</v>
      </c>
    </row>
    <row r="21" spans="1:19" ht="16.5" customHeight="1" thickTop="1" thickBot="1" x14ac:dyDescent="0.3">
      <c r="A21" s="551"/>
      <c r="B21" s="551"/>
      <c r="C21" s="551"/>
      <c r="D21" s="551"/>
      <c r="E21" s="47" t="s">
        <v>267</v>
      </c>
      <c r="F21" s="32" t="s">
        <v>268</v>
      </c>
      <c r="G21" s="15">
        <v>13</v>
      </c>
      <c r="H21" s="59">
        <f>'TABLA GENERAL'!D24</f>
        <v>1484</v>
      </c>
      <c r="I21" s="115">
        <v>19292</v>
      </c>
      <c r="J21" s="15">
        <v>10</v>
      </c>
      <c r="K21" s="60">
        <f t="shared" si="0"/>
        <v>14840</v>
      </c>
      <c r="L21" s="15">
        <v>0</v>
      </c>
      <c r="M21" s="60">
        <f t="shared" si="1"/>
        <v>0</v>
      </c>
      <c r="N21" s="15">
        <v>0</v>
      </c>
      <c r="O21" s="60">
        <f t="shared" si="2"/>
        <v>0</v>
      </c>
      <c r="P21" s="15">
        <v>0</v>
      </c>
      <c r="Q21" s="73">
        <f t="shared" si="3"/>
        <v>0</v>
      </c>
      <c r="R21" s="18">
        <f t="shared" si="4"/>
        <v>10</v>
      </c>
      <c r="S21" s="18">
        <f t="shared" si="4"/>
        <v>14840</v>
      </c>
    </row>
    <row r="22" spans="1:19" ht="16.5" customHeight="1" thickTop="1" thickBot="1" x14ac:dyDescent="0.3">
      <c r="A22" s="551"/>
      <c r="B22" s="551"/>
      <c r="C22" s="552"/>
      <c r="D22" s="552"/>
      <c r="E22" s="47" t="s">
        <v>267</v>
      </c>
      <c r="F22" s="32" t="s">
        <v>269</v>
      </c>
      <c r="G22" s="15">
        <v>2</v>
      </c>
      <c r="H22" s="59">
        <f>'TABLA GENERAL'!D25</f>
        <v>312143</v>
      </c>
      <c r="I22" s="115">
        <v>624286</v>
      </c>
      <c r="J22" s="15">
        <v>1</v>
      </c>
      <c r="K22" s="60">
        <f t="shared" si="0"/>
        <v>312143</v>
      </c>
      <c r="L22" s="15">
        <v>1</v>
      </c>
      <c r="M22" s="60">
        <f t="shared" si="1"/>
        <v>312143</v>
      </c>
      <c r="N22" s="15">
        <v>0</v>
      </c>
      <c r="O22" s="60">
        <f t="shared" si="2"/>
        <v>0</v>
      </c>
      <c r="P22" s="15">
        <v>0</v>
      </c>
      <c r="Q22" s="73">
        <f t="shared" si="3"/>
        <v>0</v>
      </c>
      <c r="R22" s="18">
        <f t="shared" si="4"/>
        <v>2</v>
      </c>
      <c r="S22" s="18">
        <f t="shared" si="4"/>
        <v>624286</v>
      </c>
    </row>
    <row r="23" spans="1:19" ht="29.25" customHeight="1" thickTop="1" thickBot="1" x14ac:dyDescent="0.3">
      <c r="A23" s="551"/>
      <c r="B23" s="551"/>
      <c r="C23" s="550" t="s">
        <v>270</v>
      </c>
      <c r="D23" s="652" t="s">
        <v>271</v>
      </c>
      <c r="E23" s="47" t="s">
        <v>272</v>
      </c>
      <c r="F23" s="32" t="s">
        <v>273</v>
      </c>
      <c r="G23" s="15">
        <v>1</v>
      </c>
      <c r="H23" s="59">
        <f>'TABLA GENERAL'!D27</f>
        <v>68138</v>
      </c>
      <c r="I23" s="115">
        <v>68138</v>
      </c>
      <c r="J23" s="15">
        <v>1</v>
      </c>
      <c r="K23" s="60">
        <f t="shared" si="0"/>
        <v>68138</v>
      </c>
      <c r="L23" s="15">
        <v>0</v>
      </c>
      <c r="M23" s="60">
        <f t="shared" si="1"/>
        <v>0</v>
      </c>
      <c r="N23" s="47">
        <v>0</v>
      </c>
      <c r="O23" s="60">
        <f t="shared" si="2"/>
        <v>0</v>
      </c>
      <c r="P23" s="47">
        <v>0</v>
      </c>
      <c r="Q23" s="73">
        <f t="shared" si="3"/>
        <v>0</v>
      </c>
      <c r="R23" s="18">
        <f t="shared" si="4"/>
        <v>1</v>
      </c>
      <c r="S23" s="18">
        <f t="shared" si="4"/>
        <v>68138</v>
      </c>
    </row>
    <row r="24" spans="1:19" ht="26.25" customHeight="1" thickTop="1" thickBot="1" x14ac:dyDescent="0.3">
      <c r="A24" s="551"/>
      <c r="B24" s="551"/>
      <c r="C24" s="551"/>
      <c r="D24" s="653"/>
      <c r="E24" s="47" t="s">
        <v>274</v>
      </c>
      <c r="F24" s="257" t="s">
        <v>275</v>
      </c>
      <c r="G24" s="15">
        <v>11</v>
      </c>
      <c r="H24" s="59">
        <f>'TABLA GENERAL'!D28</f>
        <v>47779</v>
      </c>
      <c r="I24" s="115">
        <v>525569</v>
      </c>
      <c r="J24" s="15">
        <v>2</v>
      </c>
      <c r="K24" s="60">
        <f t="shared" si="0"/>
        <v>95558</v>
      </c>
      <c r="L24" s="15">
        <v>7</v>
      </c>
      <c r="M24" s="60">
        <f t="shared" si="1"/>
        <v>334453</v>
      </c>
      <c r="N24" s="15">
        <v>0</v>
      </c>
      <c r="O24" s="60">
        <f t="shared" si="2"/>
        <v>0</v>
      </c>
      <c r="P24" s="15">
        <v>0</v>
      </c>
      <c r="Q24" s="73">
        <f t="shared" si="3"/>
        <v>0</v>
      </c>
      <c r="R24" s="18">
        <f t="shared" si="4"/>
        <v>9</v>
      </c>
      <c r="S24" s="18">
        <f t="shared" si="4"/>
        <v>430011</v>
      </c>
    </row>
    <row r="25" spans="1:19" ht="16.5" thickTop="1" thickBot="1" x14ac:dyDescent="0.3">
      <c r="A25" s="551"/>
      <c r="B25" s="551"/>
      <c r="C25" s="551"/>
      <c r="D25" s="653"/>
      <c r="E25" s="47" t="s">
        <v>276</v>
      </c>
      <c r="F25" s="32" t="s">
        <v>277</v>
      </c>
      <c r="G25" s="15">
        <v>4</v>
      </c>
      <c r="H25" s="59">
        <f>'TABLA GENERAL'!D29</f>
        <v>40845</v>
      </c>
      <c r="I25" s="115">
        <v>163380</v>
      </c>
      <c r="J25" s="15">
        <v>0</v>
      </c>
      <c r="K25" s="60">
        <f t="shared" si="0"/>
        <v>0</v>
      </c>
      <c r="L25" s="15">
        <v>4</v>
      </c>
      <c r="M25" s="60">
        <f t="shared" si="1"/>
        <v>163380</v>
      </c>
      <c r="N25" s="15">
        <v>0</v>
      </c>
      <c r="O25" s="60">
        <f t="shared" si="2"/>
        <v>0</v>
      </c>
      <c r="P25" s="15">
        <v>0</v>
      </c>
      <c r="Q25" s="73">
        <f t="shared" si="3"/>
        <v>0</v>
      </c>
      <c r="R25" s="18">
        <f t="shared" si="4"/>
        <v>4</v>
      </c>
      <c r="S25" s="18">
        <f t="shared" si="4"/>
        <v>163380</v>
      </c>
    </row>
    <row r="26" spans="1:19" ht="31.5" thickTop="1" thickBot="1" x14ac:dyDescent="0.3">
      <c r="A26" s="551"/>
      <c r="B26" s="551"/>
      <c r="C26" s="551"/>
      <c r="D26" s="654"/>
      <c r="E26" s="47" t="s">
        <v>278</v>
      </c>
      <c r="F26" s="32" t="s">
        <v>279</v>
      </c>
      <c r="G26" s="15">
        <v>152</v>
      </c>
      <c r="H26" s="59">
        <f>'TABLA GENERAL'!D30</f>
        <v>16636</v>
      </c>
      <c r="I26" s="115">
        <v>2528672</v>
      </c>
      <c r="J26" s="15">
        <v>13</v>
      </c>
      <c r="K26" s="60">
        <f t="shared" si="0"/>
        <v>216268</v>
      </c>
      <c r="L26" s="15">
        <v>0</v>
      </c>
      <c r="M26" s="60">
        <f t="shared" si="1"/>
        <v>0</v>
      </c>
      <c r="N26" s="15">
        <v>0</v>
      </c>
      <c r="O26" s="60">
        <f t="shared" si="2"/>
        <v>0</v>
      </c>
      <c r="P26" s="15">
        <v>0</v>
      </c>
      <c r="Q26" s="73">
        <f t="shared" si="3"/>
        <v>0</v>
      </c>
      <c r="R26" s="18">
        <f t="shared" si="4"/>
        <v>13</v>
      </c>
      <c r="S26" s="18">
        <f t="shared" si="4"/>
        <v>216268</v>
      </c>
    </row>
    <row r="27" spans="1:19" ht="19.5" customHeight="1" thickTop="1" thickBot="1" x14ac:dyDescent="0.3">
      <c r="A27" s="551"/>
      <c r="B27" s="551"/>
      <c r="C27" s="551"/>
      <c r="D27" s="655" t="s">
        <v>280</v>
      </c>
      <c r="E27" s="47" t="s">
        <v>281</v>
      </c>
      <c r="F27" s="32" t="s">
        <v>282</v>
      </c>
      <c r="G27" s="15">
        <v>10</v>
      </c>
      <c r="H27" s="59">
        <f>'TABLA GENERAL'!D32</f>
        <v>5231</v>
      </c>
      <c r="I27" s="115">
        <v>52310</v>
      </c>
      <c r="J27" s="15">
        <v>10</v>
      </c>
      <c r="K27" s="60">
        <f t="shared" si="0"/>
        <v>52310</v>
      </c>
      <c r="L27" s="15">
        <v>0</v>
      </c>
      <c r="M27" s="60">
        <f t="shared" si="1"/>
        <v>0</v>
      </c>
      <c r="N27" s="15">
        <v>0</v>
      </c>
      <c r="O27" s="60">
        <f t="shared" si="2"/>
        <v>0</v>
      </c>
      <c r="P27" s="15">
        <v>0</v>
      </c>
      <c r="Q27" s="73">
        <f t="shared" si="3"/>
        <v>0</v>
      </c>
      <c r="R27" s="18">
        <f t="shared" si="4"/>
        <v>10</v>
      </c>
      <c r="S27" s="18">
        <f t="shared" si="4"/>
        <v>52310</v>
      </c>
    </row>
    <row r="28" spans="1:19" ht="16.5" customHeight="1" thickTop="1" thickBot="1" x14ac:dyDescent="0.3">
      <c r="A28" s="551"/>
      <c r="B28" s="551"/>
      <c r="C28" s="551"/>
      <c r="D28" s="656"/>
      <c r="E28" s="47" t="s">
        <v>283</v>
      </c>
      <c r="F28" s="32" t="s">
        <v>284</v>
      </c>
      <c r="G28" s="15">
        <v>13</v>
      </c>
      <c r="H28" s="59">
        <f>'TABLA GENERAL'!D33</f>
        <v>3641</v>
      </c>
      <c r="I28" s="115">
        <v>47333</v>
      </c>
      <c r="J28" s="15">
        <v>3</v>
      </c>
      <c r="K28" s="60">
        <f t="shared" si="0"/>
        <v>10923</v>
      </c>
      <c r="L28" s="15">
        <v>0</v>
      </c>
      <c r="M28" s="60">
        <f t="shared" si="1"/>
        <v>0</v>
      </c>
      <c r="N28" s="15">
        <v>0</v>
      </c>
      <c r="O28" s="60">
        <f t="shared" si="2"/>
        <v>0</v>
      </c>
      <c r="P28" s="15">
        <v>0</v>
      </c>
      <c r="Q28" s="73">
        <f t="shared" si="3"/>
        <v>0</v>
      </c>
      <c r="R28" s="18">
        <f t="shared" si="4"/>
        <v>3</v>
      </c>
      <c r="S28" s="18">
        <f t="shared" si="4"/>
        <v>10923</v>
      </c>
    </row>
    <row r="29" spans="1:19" ht="23.25" customHeight="1" thickTop="1" thickBot="1" x14ac:dyDescent="0.3">
      <c r="A29" s="551"/>
      <c r="B29" s="551"/>
      <c r="C29" s="551"/>
      <c r="D29" s="657" t="s">
        <v>285</v>
      </c>
      <c r="E29" s="47" t="s">
        <v>286</v>
      </c>
      <c r="F29" s="32" t="s">
        <v>287</v>
      </c>
      <c r="G29" s="15">
        <v>2</v>
      </c>
      <c r="H29" s="59">
        <v>123893</v>
      </c>
      <c r="I29" s="115">
        <v>247786</v>
      </c>
      <c r="J29" s="15">
        <v>1</v>
      </c>
      <c r="K29" s="60">
        <f t="shared" si="0"/>
        <v>123893</v>
      </c>
      <c r="L29" s="15">
        <v>0</v>
      </c>
      <c r="M29" s="60">
        <f t="shared" si="1"/>
        <v>0</v>
      </c>
      <c r="N29" s="47">
        <v>0</v>
      </c>
      <c r="O29" s="60">
        <f t="shared" si="2"/>
        <v>0</v>
      </c>
      <c r="P29" s="47">
        <v>0</v>
      </c>
      <c r="Q29" s="73">
        <f t="shared" si="3"/>
        <v>0</v>
      </c>
      <c r="R29" s="18">
        <f t="shared" si="4"/>
        <v>1</v>
      </c>
      <c r="S29" s="18">
        <f t="shared" si="4"/>
        <v>123893</v>
      </c>
    </row>
    <row r="30" spans="1:19" ht="16.5" customHeight="1" thickTop="1" thickBot="1" x14ac:dyDescent="0.3">
      <c r="A30" s="551"/>
      <c r="B30" s="551"/>
      <c r="C30" s="551"/>
      <c r="D30" s="658"/>
      <c r="E30" s="47" t="s">
        <v>288</v>
      </c>
      <c r="F30" s="32" t="s">
        <v>289</v>
      </c>
      <c r="G30" s="15">
        <v>10</v>
      </c>
      <c r="H30" s="59">
        <f>'TABLA GENERAL'!D36</f>
        <v>57181</v>
      </c>
      <c r="I30" s="115">
        <v>571810</v>
      </c>
      <c r="J30" s="15">
        <v>5</v>
      </c>
      <c r="K30" s="60">
        <f t="shared" si="0"/>
        <v>285905</v>
      </c>
      <c r="L30" s="15">
        <v>0</v>
      </c>
      <c r="M30" s="60">
        <f t="shared" si="1"/>
        <v>0</v>
      </c>
      <c r="N30" s="15">
        <v>0</v>
      </c>
      <c r="O30" s="60">
        <f t="shared" si="2"/>
        <v>0</v>
      </c>
      <c r="P30" s="15">
        <v>0</v>
      </c>
      <c r="Q30" s="73">
        <f t="shared" si="3"/>
        <v>0</v>
      </c>
      <c r="R30" s="18">
        <f t="shared" si="4"/>
        <v>5</v>
      </c>
      <c r="S30" s="18">
        <f t="shared" si="4"/>
        <v>285905</v>
      </c>
    </row>
    <row r="31" spans="1:19" ht="16.5" customHeight="1" thickTop="1" thickBot="1" x14ac:dyDescent="0.3">
      <c r="A31" s="551"/>
      <c r="B31" s="551"/>
      <c r="C31" s="551"/>
      <c r="D31" s="655" t="s">
        <v>290</v>
      </c>
      <c r="E31" s="47" t="s">
        <v>291</v>
      </c>
      <c r="F31" s="32" t="s">
        <v>292</v>
      </c>
      <c r="G31" s="15">
        <v>2</v>
      </c>
      <c r="H31" s="59">
        <f>'TABLA GENERAL'!D39</f>
        <v>29368</v>
      </c>
      <c r="I31" s="115">
        <v>58736</v>
      </c>
      <c r="J31" s="15">
        <v>1</v>
      </c>
      <c r="K31" s="60">
        <f t="shared" si="0"/>
        <v>29368</v>
      </c>
      <c r="L31" s="15">
        <v>0</v>
      </c>
      <c r="M31" s="60">
        <f t="shared" si="1"/>
        <v>0</v>
      </c>
      <c r="N31" s="47">
        <v>0</v>
      </c>
      <c r="O31" s="60">
        <f t="shared" si="2"/>
        <v>0</v>
      </c>
      <c r="P31" s="47">
        <v>0</v>
      </c>
      <c r="Q31" s="73">
        <f t="shared" si="3"/>
        <v>0</v>
      </c>
      <c r="R31" s="18">
        <f t="shared" si="4"/>
        <v>1</v>
      </c>
      <c r="S31" s="18">
        <f t="shared" si="4"/>
        <v>29368</v>
      </c>
    </row>
    <row r="32" spans="1:19" ht="16.5" customHeight="1" thickTop="1" thickBot="1" x14ac:dyDescent="0.3">
      <c r="A32" s="551"/>
      <c r="B32" s="551"/>
      <c r="C32" s="551"/>
      <c r="D32" s="659"/>
      <c r="E32" s="47" t="s">
        <v>293</v>
      </c>
      <c r="F32" s="32" t="s">
        <v>294</v>
      </c>
      <c r="G32" s="15">
        <v>1</v>
      </c>
      <c r="H32" s="59">
        <f>'TABLA GENERAL'!D40</f>
        <v>26082</v>
      </c>
      <c r="I32" s="115">
        <v>26082</v>
      </c>
      <c r="J32" s="15">
        <v>1</v>
      </c>
      <c r="K32" s="60">
        <f t="shared" si="0"/>
        <v>26082</v>
      </c>
      <c r="L32" s="15">
        <v>0</v>
      </c>
      <c r="M32" s="60">
        <f t="shared" si="1"/>
        <v>0</v>
      </c>
      <c r="N32" s="15">
        <v>0</v>
      </c>
      <c r="O32" s="60">
        <f t="shared" si="2"/>
        <v>0</v>
      </c>
      <c r="P32" s="15">
        <v>0</v>
      </c>
      <c r="Q32" s="73">
        <f t="shared" si="3"/>
        <v>0</v>
      </c>
      <c r="R32" s="18">
        <f t="shared" si="4"/>
        <v>1</v>
      </c>
      <c r="S32" s="18">
        <f t="shared" si="4"/>
        <v>26082</v>
      </c>
    </row>
    <row r="33" spans="1:22" ht="16.5" customHeight="1" thickTop="1" thickBot="1" x14ac:dyDescent="0.3">
      <c r="A33" s="551"/>
      <c r="B33" s="551"/>
      <c r="C33" s="552"/>
      <c r="D33" s="656"/>
      <c r="E33" s="47" t="s">
        <v>295</v>
      </c>
      <c r="F33" s="32" t="s">
        <v>296</v>
      </c>
      <c r="G33" s="15">
        <v>10</v>
      </c>
      <c r="H33" s="59">
        <f>'TABLA GENERAL'!D41</f>
        <v>44012</v>
      </c>
      <c r="I33" s="115">
        <v>440120</v>
      </c>
      <c r="J33" s="15">
        <v>1</v>
      </c>
      <c r="K33" s="60">
        <f t="shared" si="0"/>
        <v>44012</v>
      </c>
      <c r="L33" s="15">
        <v>2</v>
      </c>
      <c r="M33" s="60">
        <f t="shared" si="1"/>
        <v>88024</v>
      </c>
      <c r="N33" s="15">
        <v>0</v>
      </c>
      <c r="O33" s="60">
        <f t="shared" si="2"/>
        <v>0</v>
      </c>
      <c r="P33" s="15">
        <v>0</v>
      </c>
      <c r="Q33" s="73">
        <f t="shared" si="3"/>
        <v>0</v>
      </c>
      <c r="R33" s="18">
        <f t="shared" si="4"/>
        <v>3</v>
      </c>
      <c r="S33" s="18">
        <f t="shared" si="4"/>
        <v>132036</v>
      </c>
    </row>
    <row r="34" spans="1:22" ht="25.5" customHeight="1" thickTop="1" thickBot="1" x14ac:dyDescent="0.3">
      <c r="A34" s="551"/>
      <c r="B34" s="551"/>
      <c r="C34" s="640" t="s">
        <v>297</v>
      </c>
      <c r="D34" s="641"/>
      <c r="E34" s="47" t="s">
        <v>298</v>
      </c>
      <c r="F34" s="32" t="s">
        <v>299</v>
      </c>
      <c r="G34" s="15">
        <v>2</v>
      </c>
      <c r="H34" s="59">
        <f>'TABLA GENERAL'!D42</f>
        <v>25629</v>
      </c>
      <c r="I34" s="115">
        <v>51258</v>
      </c>
      <c r="J34" s="15">
        <v>0</v>
      </c>
      <c r="K34" s="60">
        <f t="shared" si="0"/>
        <v>0</v>
      </c>
      <c r="L34" s="15">
        <v>1</v>
      </c>
      <c r="M34" s="60">
        <f t="shared" si="1"/>
        <v>25629</v>
      </c>
      <c r="N34" s="15">
        <v>0</v>
      </c>
      <c r="O34" s="60">
        <f t="shared" si="2"/>
        <v>0</v>
      </c>
      <c r="P34" s="15">
        <v>0</v>
      </c>
      <c r="Q34" s="73">
        <f t="shared" si="3"/>
        <v>0</v>
      </c>
      <c r="R34" s="18">
        <f t="shared" si="4"/>
        <v>1</v>
      </c>
      <c r="S34" s="18">
        <f t="shared" si="4"/>
        <v>25629</v>
      </c>
    </row>
    <row r="35" spans="1:22" ht="16.5" thickTop="1" thickBot="1" x14ac:dyDescent="0.3">
      <c r="A35" s="551"/>
      <c r="B35" s="551"/>
      <c r="C35" s="642"/>
      <c r="D35" s="643"/>
      <c r="E35" s="47" t="s">
        <v>300</v>
      </c>
      <c r="F35" s="32" t="s">
        <v>301</v>
      </c>
      <c r="G35" s="15">
        <v>3</v>
      </c>
      <c r="H35" s="59">
        <f>'TABLA GENERAL'!D45</f>
        <v>2744</v>
      </c>
      <c r="I35" s="115">
        <v>8232</v>
      </c>
      <c r="J35" s="15">
        <v>1</v>
      </c>
      <c r="K35" s="60">
        <f t="shared" si="0"/>
        <v>2744</v>
      </c>
      <c r="L35" s="15">
        <v>0</v>
      </c>
      <c r="M35" s="60">
        <f t="shared" si="1"/>
        <v>0</v>
      </c>
      <c r="N35" s="15">
        <v>0</v>
      </c>
      <c r="O35" s="60">
        <f t="shared" si="2"/>
        <v>0</v>
      </c>
      <c r="P35" s="15">
        <v>0</v>
      </c>
      <c r="Q35" s="73">
        <f t="shared" si="3"/>
        <v>0</v>
      </c>
      <c r="R35" s="18">
        <f t="shared" si="4"/>
        <v>1</v>
      </c>
      <c r="S35" s="18">
        <f t="shared" si="4"/>
        <v>2744</v>
      </c>
    </row>
    <row r="36" spans="1:22" ht="16.5" thickTop="1" thickBot="1" x14ac:dyDescent="0.3">
      <c r="A36" s="551"/>
      <c r="B36" s="551"/>
      <c r="C36" s="642"/>
      <c r="D36" s="643"/>
      <c r="E36" s="47" t="s">
        <v>302</v>
      </c>
      <c r="F36" s="32" t="s">
        <v>303</v>
      </c>
      <c r="G36" s="15">
        <v>2</v>
      </c>
      <c r="H36" s="59">
        <f>'TABLA GENERAL'!D46</f>
        <v>71054</v>
      </c>
      <c r="I36" s="115">
        <v>142108</v>
      </c>
      <c r="J36" s="15">
        <v>0</v>
      </c>
      <c r="K36" s="60">
        <f t="shared" si="0"/>
        <v>0</v>
      </c>
      <c r="L36" s="15">
        <v>1</v>
      </c>
      <c r="M36" s="60">
        <f t="shared" si="1"/>
        <v>71054</v>
      </c>
      <c r="N36" s="15">
        <v>0</v>
      </c>
      <c r="O36" s="60">
        <f t="shared" si="2"/>
        <v>0</v>
      </c>
      <c r="P36" s="15">
        <v>0</v>
      </c>
      <c r="Q36" s="73">
        <f t="shared" si="3"/>
        <v>0</v>
      </c>
      <c r="R36" s="18">
        <f t="shared" si="4"/>
        <v>1</v>
      </c>
      <c r="S36" s="18">
        <f t="shared" si="4"/>
        <v>71054</v>
      </c>
    </row>
    <row r="37" spans="1:22" ht="16.5" thickTop="1" thickBot="1" x14ac:dyDescent="0.3">
      <c r="A37" s="551"/>
      <c r="B37" s="551"/>
      <c r="C37" s="642"/>
      <c r="D37" s="643"/>
      <c r="E37" s="47" t="s">
        <v>304</v>
      </c>
      <c r="F37" s="32" t="s">
        <v>305</v>
      </c>
      <c r="G37" s="15">
        <v>2</v>
      </c>
      <c r="H37" s="59">
        <f>'TABLA GENERAL'!D47</f>
        <v>80516</v>
      </c>
      <c r="I37" s="115">
        <v>161032</v>
      </c>
      <c r="J37" s="15">
        <v>0</v>
      </c>
      <c r="K37" s="60">
        <f t="shared" si="0"/>
        <v>0</v>
      </c>
      <c r="L37" s="15">
        <v>1</v>
      </c>
      <c r="M37" s="60">
        <f t="shared" si="1"/>
        <v>80516</v>
      </c>
      <c r="N37" s="47">
        <v>0</v>
      </c>
      <c r="O37" s="60">
        <f t="shared" si="2"/>
        <v>0</v>
      </c>
      <c r="P37" s="47">
        <v>0</v>
      </c>
      <c r="Q37" s="73">
        <f t="shared" si="3"/>
        <v>0</v>
      </c>
      <c r="R37" s="18">
        <f t="shared" si="4"/>
        <v>1</v>
      </c>
      <c r="S37" s="18">
        <f t="shared" si="4"/>
        <v>80516</v>
      </c>
    </row>
    <row r="38" spans="1:22" ht="16.5" thickTop="1" thickBot="1" x14ac:dyDescent="0.3">
      <c r="A38" s="552"/>
      <c r="B38" s="551"/>
      <c r="C38" s="644"/>
      <c r="D38" s="645"/>
      <c r="E38" s="47" t="s">
        <v>306</v>
      </c>
      <c r="F38" s="57" t="s">
        <v>307</v>
      </c>
      <c r="G38" s="51">
        <v>1</v>
      </c>
      <c r="H38" s="71">
        <f>'TABLA GENERAL'!D48</f>
        <v>670956</v>
      </c>
      <c r="I38" s="116">
        <v>670956</v>
      </c>
      <c r="J38" s="51">
        <f>0.25+0.1</f>
        <v>0.35</v>
      </c>
      <c r="K38" s="60">
        <f t="shared" si="0"/>
        <v>234834.59999999998</v>
      </c>
      <c r="L38" s="51">
        <v>0.3</v>
      </c>
      <c r="M38" s="60">
        <f t="shared" si="1"/>
        <v>201286.8</v>
      </c>
      <c r="N38" s="51">
        <v>0.2</v>
      </c>
      <c r="O38" s="60">
        <f t="shared" si="2"/>
        <v>134191.20000000001</v>
      </c>
      <c r="P38" s="51">
        <v>0.15</v>
      </c>
      <c r="Q38" s="73">
        <f t="shared" si="3"/>
        <v>100643.4</v>
      </c>
      <c r="R38" s="18">
        <f t="shared" si="4"/>
        <v>0.99999999999999989</v>
      </c>
      <c r="S38" s="18">
        <f t="shared" si="4"/>
        <v>670956</v>
      </c>
    </row>
    <row r="39" spans="1:22" ht="17.25" thickBot="1" x14ac:dyDescent="0.3">
      <c r="A39" s="112"/>
      <c r="B39" s="552"/>
      <c r="C39" s="117"/>
      <c r="D39" s="112"/>
      <c r="E39" s="112"/>
      <c r="F39" s="112" t="s">
        <v>308</v>
      </c>
      <c r="G39" s="112"/>
      <c r="H39" s="112"/>
      <c r="I39" s="118">
        <f>SUM(I5:I38)</f>
        <v>7274066</v>
      </c>
      <c r="J39" s="112"/>
      <c r="K39" s="119">
        <f>SUM(K5:K38)</f>
        <v>1712801.6</v>
      </c>
      <c r="L39" s="112"/>
      <c r="M39" s="119">
        <f>SUM(M5:M38)</f>
        <v>1606524.8</v>
      </c>
      <c r="N39" s="112"/>
      <c r="O39" s="119">
        <f>SUM(O5:O38)</f>
        <v>134191.20000000001</v>
      </c>
      <c r="P39" s="112"/>
      <c r="Q39" s="120">
        <f>SUM(Q5:Q38)</f>
        <v>100643.4</v>
      </c>
      <c r="R39" s="112"/>
      <c r="S39" s="119">
        <f>Q39+O39+M39+K39</f>
        <v>3554161</v>
      </c>
      <c r="T39" s="14">
        <f>Q39+O39+M39+K39</f>
        <v>3554161</v>
      </c>
    </row>
    <row r="41" spans="1:22" thickBot="1" x14ac:dyDescent="0.35"/>
    <row r="42" spans="1:22" ht="47.25" customHeight="1" thickBot="1" x14ac:dyDescent="0.35">
      <c r="B42" s="195"/>
      <c r="C42" s="195"/>
      <c r="D42" s="195"/>
      <c r="E42" s="195"/>
      <c r="F42" s="617" t="s">
        <v>309</v>
      </c>
      <c r="G42" s="618"/>
      <c r="H42" s="618"/>
      <c r="I42" s="618"/>
      <c r="J42" s="618"/>
      <c r="K42" s="618"/>
      <c r="L42" s="618"/>
      <c r="M42" s="618"/>
      <c r="N42" s="618"/>
      <c r="O42" s="618"/>
      <c r="P42" s="618"/>
      <c r="Q42" s="618"/>
      <c r="R42" s="584" t="s">
        <v>227</v>
      </c>
      <c r="S42" s="585"/>
    </row>
    <row r="43" spans="1:22" ht="50.25" customHeight="1" thickBot="1" x14ac:dyDescent="0.3">
      <c r="A43" s="269" t="s">
        <v>228</v>
      </c>
      <c r="B43" s="550" t="s">
        <v>310</v>
      </c>
      <c r="C43" s="121"/>
      <c r="D43" s="122"/>
      <c r="E43" s="89"/>
      <c r="F43" s="112" t="s">
        <v>85</v>
      </c>
      <c r="G43" s="89" t="s">
        <v>229</v>
      </c>
      <c r="H43" s="89" t="s">
        <v>123</v>
      </c>
      <c r="I43" s="113" t="s">
        <v>230</v>
      </c>
      <c r="J43" s="89">
        <v>2021</v>
      </c>
      <c r="K43" s="89" t="s">
        <v>79</v>
      </c>
      <c r="L43" s="89">
        <v>2022</v>
      </c>
      <c r="M43" s="89" t="s">
        <v>79</v>
      </c>
      <c r="N43" s="89">
        <v>2023</v>
      </c>
      <c r="O43" s="89" t="s">
        <v>79</v>
      </c>
      <c r="P43" s="89">
        <v>2025</v>
      </c>
      <c r="Q43" s="89" t="s">
        <v>79</v>
      </c>
      <c r="R43" s="89" t="s">
        <v>124</v>
      </c>
      <c r="S43" s="89" t="s">
        <v>77</v>
      </c>
    </row>
    <row r="44" spans="1:22" ht="39" customHeight="1" thickTop="1" thickBot="1" x14ac:dyDescent="0.3">
      <c r="A44" s="279"/>
      <c r="B44" s="551"/>
      <c r="C44" s="646" t="s">
        <v>311</v>
      </c>
      <c r="D44" s="647"/>
      <c r="E44" s="47" t="s">
        <v>312</v>
      </c>
      <c r="F44" s="32" t="s">
        <v>313</v>
      </c>
      <c r="G44" s="15">
        <v>42</v>
      </c>
      <c r="H44" s="59">
        <f>'TABLA GENERAL'!D56</f>
        <v>739</v>
      </c>
      <c r="I44" s="115">
        <f>G44*H44</f>
        <v>31038</v>
      </c>
      <c r="J44" s="15">
        <v>0</v>
      </c>
      <c r="K44" s="60">
        <f>J44*H44</f>
        <v>0</v>
      </c>
      <c r="L44" s="15">
        <v>0</v>
      </c>
      <c r="M44" s="60">
        <f>L44*H44</f>
        <v>0</v>
      </c>
      <c r="N44" s="15">
        <v>14</v>
      </c>
      <c r="O44" s="60">
        <f>N44*H44</f>
        <v>10346</v>
      </c>
      <c r="P44" s="15">
        <v>14</v>
      </c>
      <c r="Q44" s="60">
        <f>P44*H44</f>
        <v>10346</v>
      </c>
      <c r="R44" s="18">
        <f t="shared" ref="R44:S59" si="5">P44+N44+L44+J44</f>
        <v>28</v>
      </c>
      <c r="S44" s="18">
        <f t="shared" si="5"/>
        <v>20692</v>
      </c>
    </row>
    <row r="45" spans="1:22" ht="16.5" customHeight="1" thickTop="1" thickBot="1" x14ac:dyDescent="0.3">
      <c r="A45" s="279"/>
      <c r="B45" s="551"/>
      <c r="C45" s="646"/>
      <c r="D45" s="647"/>
      <c r="E45" s="47" t="s">
        <v>314</v>
      </c>
      <c r="F45" s="32" t="s">
        <v>315</v>
      </c>
      <c r="G45" s="15">
        <v>84</v>
      </c>
      <c r="H45" s="59">
        <f>'TABLA GENERAL'!D57</f>
        <v>2300</v>
      </c>
      <c r="I45" s="115">
        <f t="shared" ref="I45:I109" si="6">G45*H45</f>
        <v>193200</v>
      </c>
      <c r="J45" s="15">
        <v>12</v>
      </c>
      <c r="K45" s="60">
        <f t="shared" ref="K45:K109" si="7">J45*H45</f>
        <v>27600</v>
      </c>
      <c r="L45" s="15">
        <v>12</v>
      </c>
      <c r="M45" s="60">
        <f t="shared" ref="M45:M109" si="8">L45*H45</f>
        <v>27600</v>
      </c>
      <c r="N45" s="15">
        <v>12</v>
      </c>
      <c r="O45" s="60">
        <f t="shared" ref="O45:O109" si="9">N45*H45</f>
        <v>27600</v>
      </c>
      <c r="P45" s="15">
        <v>12</v>
      </c>
      <c r="Q45" s="60">
        <f t="shared" ref="Q45:Q109" si="10">P45*H45</f>
        <v>27600</v>
      </c>
      <c r="R45" s="18">
        <f t="shared" si="5"/>
        <v>48</v>
      </c>
      <c r="S45" s="18">
        <f t="shared" si="5"/>
        <v>110400</v>
      </c>
    </row>
    <row r="46" spans="1:22" ht="16.5" customHeight="1" thickTop="1" thickBot="1" x14ac:dyDescent="0.3">
      <c r="A46" s="279"/>
      <c r="B46" s="551"/>
      <c r="C46" s="646"/>
      <c r="D46" s="647"/>
      <c r="E46" s="47" t="s">
        <v>94</v>
      </c>
      <c r="F46" s="32" t="s">
        <v>93</v>
      </c>
      <c r="G46" s="15">
        <v>125</v>
      </c>
      <c r="H46" s="59">
        <f>'TABLA GENERAL'!D58</f>
        <v>1690</v>
      </c>
      <c r="I46" s="115">
        <f t="shared" si="6"/>
        <v>211250</v>
      </c>
      <c r="J46" s="15">
        <v>14</v>
      </c>
      <c r="K46" s="60">
        <f t="shared" si="7"/>
        <v>23660</v>
      </c>
      <c r="L46" s="15">
        <v>12</v>
      </c>
      <c r="M46" s="60">
        <f t="shared" si="8"/>
        <v>20280</v>
      </c>
      <c r="N46" s="15">
        <v>12</v>
      </c>
      <c r="O46" s="60">
        <f t="shared" si="9"/>
        <v>20280</v>
      </c>
      <c r="P46" s="15">
        <v>10</v>
      </c>
      <c r="Q46" s="60">
        <f t="shared" si="10"/>
        <v>16900</v>
      </c>
      <c r="R46" s="18">
        <f t="shared" si="5"/>
        <v>48</v>
      </c>
      <c r="S46" s="18">
        <f t="shared" si="5"/>
        <v>81120</v>
      </c>
    </row>
    <row r="47" spans="1:22" ht="16.5" customHeight="1" thickTop="1" thickBot="1" x14ac:dyDescent="0.3">
      <c r="A47" s="279"/>
      <c r="B47" s="551"/>
      <c r="C47" s="646"/>
      <c r="D47" s="647"/>
      <c r="E47" s="47" t="s">
        <v>92</v>
      </c>
      <c r="F47" s="32" t="s">
        <v>91</v>
      </c>
      <c r="G47" s="15">
        <v>140</v>
      </c>
      <c r="H47" s="59">
        <f>'TABLA GENERAL'!D59</f>
        <v>13300</v>
      </c>
      <c r="I47" s="115">
        <f t="shared" si="6"/>
        <v>1862000</v>
      </c>
      <c r="J47" s="15">
        <v>12</v>
      </c>
      <c r="K47" s="60">
        <f t="shared" si="7"/>
        <v>159600</v>
      </c>
      <c r="L47" s="15">
        <v>12</v>
      </c>
      <c r="M47" s="60">
        <f t="shared" si="8"/>
        <v>159600</v>
      </c>
      <c r="N47" s="15">
        <v>12</v>
      </c>
      <c r="O47" s="60">
        <f t="shared" si="9"/>
        <v>159600</v>
      </c>
      <c r="P47" s="15">
        <v>24</v>
      </c>
      <c r="Q47" s="60">
        <f t="shared" si="10"/>
        <v>319200</v>
      </c>
      <c r="R47" s="18">
        <f t="shared" si="5"/>
        <v>60</v>
      </c>
      <c r="S47" s="18">
        <f t="shared" si="5"/>
        <v>798000</v>
      </c>
    </row>
    <row r="48" spans="1:22" ht="16.5" customHeight="1" thickTop="1" thickBot="1" x14ac:dyDescent="0.3">
      <c r="A48" s="279"/>
      <c r="B48" s="551"/>
      <c r="C48" s="646"/>
      <c r="D48" s="647"/>
      <c r="E48" s="47" t="s">
        <v>316</v>
      </c>
      <c r="F48" s="32" t="s">
        <v>317</v>
      </c>
      <c r="G48" s="15">
        <v>42</v>
      </c>
      <c r="H48" s="59">
        <f>'TABLA GENERAL'!D60</f>
        <v>314</v>
      </c>
      <c r="I48" s="115">
        <f t="shared" si="6"/>
        <v>13188</v>
      </c>
      <c r="J48" s="15">
        <v>0</v>
      </c>
      <c r="K48" s="60">
        <f t="shared" si="7"/>
        <v>0</v>
      </c>
      <c r="L48" s="15">
        <v>0</v>
      </c>
      <c r="M48" s="60">
        <f t="shared" si="8"/>
        <v>0</v>
      </c>
      <c r="N48" s="15">
        <v>0</v>
      </c>
      <c r="O48" s="60">
        <f t="shared" si="9"/>
        <v>0</v>
      </c>
      <c r="P48" s="15">
        <v>14</v>
      </c>
      <c r="Q48" s="60">
        <f t="shared" si="10"/>
        <v>4396</v>
      </c>
      <c r="R48" s="18">
        <f t="shared" si="5"/>
        <v>14</v>
      </c>
      <c r="S48" s="18">
        <f t="shared" si="5"/>
        <v>4396</v>
      </c>
      <c r="U48" s="470">
        <v>4064000</v>
      </c>
      <c r="V48" t="s">
        <v>861</v>
      </c>
    </row>
    <row r="49" spans="1:22" ht="16.5" customHeight="1" thickTop="1" thickBot="1" x14ac:dyDescent="0.3">
      <c r="A49" s="279"/>
      <c r="B49" s="551"/>
      <c r="C49" s="646"/>
      <c r="D49" s="647"/>
      <c r="E49" s="47" t="s">
        <v>318</v>
      </c>
      <c r="F49" s="32" t="s">
        <v>319</v>
      </c>
      <c r="G49" s="15">
        <v>70</v>
      </c>
      <c r="H49" s="59">
        <f>'TABLA GENERAL'!D61</f>
        <v>139.66999999999999</v>
      </c>
      <c r="I49" s="115">
        <f t="shared" si="6"/>
        <v>9776.9</v>
      </c>
      <c r="J49" s="15">
        <v>0</v>
      </c>
      <c r="K49" s="60">
        <f t="shared" si="7"/>
        <v>0</v>
      </c>
      <c r="L49" s="15">
        <v>0</v>
      </c>
      <c r="M49" s="60">
        <f t="shared" si="8"/>
        <v>0</v>
      </c>
      <c r="N49" s="15">
        <v>0</v>
      </c>
      <c r="O49" s="60">
        <f t="shared" si="9"/>
        <v>0</v>
      </c>
      <c r="P49" s="15">
        <v>10</v>
      </c>
      <c r="Q49" s="60">
        <f t="shared" si="10"/>
        <v>1396.6999999999998</v>
      </c>
      <c r="R49" s="18">
        <f t="shared" si="5"/>
        <v>10</v>
      </c>
      <c r="S49" s="18">
        <f t="shared" si="5"/>
        <v>1396.6999999999998</v>
      </c>
      <c r="U49" s="470">
        <v>1333000</v>
      </c>
      <c r="V49" t="s">
        <v>862</v>
      </c>
    </row>
    <row r="50" spans="1:22" ht="31.5" thickTop="1" thickBot="1" x14ac:dyDescent="0.3">
      <c r="A50" s="279"/>
      <c r="B50" s="551"/>
      <c r="C50" s="646"/>
      <c r="D50" s="647"/>
      <c r="E50" s="47" t="s">
        <v>320</v>
      </c>
      <c r="F50" s="32" t="s">
        <v>321</v>
      </c>
      <c r="G50" s="15">
        <v>165</v>
      </c>
      <c r="H50" s="59">
        <f>'TABLA GENERAL'!D62</f>
        <v>315</v>
      </c>
      <c r="I50" s="115">
        <f t="shared" si="6"/>
        <v>51975</v>
      </c>
      <c r="J50" s="15">
        <v>0</v>
      </c>
      <c r="K50" s="60">
        <f t="shared" si="7"/>
        <v>0</v>
      </c>
      <c r="L50" s="15">
        <v>0</v>
      </c>
      <c r="M50" s="60">
        <f t="shared" si="8"/>
        <v>0</v>
      </c>
      <c r="N50" s="15">
        <v>0</v>
      </c>
      <c r="O50" s="60">
        <f t="shared" si="9"/>
        <v>0</v>
      </c>
      <c r="P50" s="15">
        <v>56</v>
      </c>
      <c r="Q50" s="60">
        <f t="shared" si="10"/>
        <v>17640</v>
      </c>
      <c r="R50" s="18">
        <f t="shared" si="5"/>
        <v>56</v>
      </c>
      <c r="S50" s="18">
        <f t="shared" si="5"/>
        <v>17640</v>
      </c>
      <c r="U50" s="470">
        <f>+S44+S48+S49+S50+S51+S55+S57+S58+S59+S60+S61+S62+S63+S65+S66+S67+S68+S69+S70+S71+S72+S73+S74+S75+S76+S77+S78+S79+S80+S81+S82+S83+S84+S85+S86+S87+S88+S89+S90+S91+S92+S93+S94+S95+S96+S97+S98+S99+S100+S101+S102</f>
        <v>238164.8615384615</v>
      </c>
      <c r="V50" t="s">
        <v>863</v>
      </c>
    </row>
    <row r="51" spans="1:22" ht="16.5" customHeight="1" thickTop="1" thickBot="1" x14ac:dyDescent="0.3">
      <c r="A51" s="279"/>
      <c r="B51" s="551"/>
      <c r="C51" s="646"/>
      <c r="D51" s="647"/>
      <c r="E51" s="47" t="s">
        <v>322</v>
      </c>
      <c r="F51" s="32" t="s">
        <v>323</v>
      </c>
      <c r="G51" s="15">
        <v>6</v>
      </c>
      <c r="H51" s="59">
        <f>'TABLA GENERAL'!D63</f>
        <v>250</v>
      </c>
      <c r="I51" s="115">
        <f t="shared" si="6"/>
        <v>1500</v>
      </c>
      <c r="J51" s="15">
        <v>0</v>
      </c>
      <c r="K51" s="60">
        <f t="shared" si="7"/>
        <v>0</v>
      </c>
      <c r="L51" s="15">
        <v>0</v>
      </c>
      <c r="M51" s="60">
        <f t="shared" si="8"/>
        <v>0</v>
      </c>
      <c r="N51" s="15">
        <v>0</v>
      </c>
      <c r="O51" s="60">
        <f t="shared" si="9"/>
        <v>0</v>
      </c>
      <c r="P51" s="15">
        <v>6</v>
      </c>
      <c r="Q51" s="60">
        <f t="shared" si="10"/>
        <v>1500</v>
      </c>
      <c r="R51" s="18">
        <f t="shared" si="5"/>
        <v>6</v>
      </c>
      <c r="S51" s="18">
        <f t="shared" si="5"/>
        <v>1500</v>
      </c>
      <c r="U51" s="470">
        <f>+SUM(S104:S131)</f>
        <v>2064230.63</v>
      </c>
      <c r="V51" t="s">
        <v>864</v>
      </c>
    </row>
    <row r="52" spans="1:22" ht="16.5" customHeight="1" thickTop="1" thickBot="1" x14ac:dyDescent="0.3">
      <c r="A52" s="279"/>
      <c r="B52" s="551"/>
      <c r="C52" s="646"/>
      <c r="D52" s="647"/>
      <c r="E52" s="47" t="s">
        <v>324</v>
      </c>
      <c r="F52" s="32" t="s">
        <v>325</v>
      </c>
      <c r="G52" s="15">
        <v>4</v>
      </c>
      <c r="H52" s="59">
        <f>'TABLA GENERAL'!D66</f>
        <v>34</v>
      </c>
      <c r="I52" s="115">
        <f t="shared" si="6"/>
        <v>136</v>
      </c>
      <c r="J52" s="15">
        <v>0</v>
      </c>
      <c r="K52" s="60">
        <f t="shared" si="7"/>
        <v>0</v>
      </c>
      <c r="L52" s="15">
        <v>0</v>
      </c>
      <c r="M52" s="60">
        <f t="shared" si="8"/>
        <v>0</v>
      </c>
      <c r="N52" s="15">
        <v>0</v>
      </c>
      <c r="O52" s="60">
        <f t="shared" si="9"/>
        <v>0</v>
      </c>
      <c r="P52" s="15">
        <v>4</v>
      </c>
      <c r="Q52" s="60">
        <f t="shared" si="10"/>
        <v>136</v>
      </c>
      <c r="R52" s="18">
        <f t="shared" si="5"/>
        <v>4</v>
      </c>
      <c r="S52" s="18">
        <f t="shared" si="5"/>
        <v>136</v>
      </c>
      <c r="U52" s="470">
        <v>15000</v>
      </c>
      <c r="V52" t="s">
        <v>865</v>
      </c>
    </row>
    <row r="53" spans="1:22" ht="31.5" thickTop="1" thickBot="1" x14ac:dyDescent="0.3">
      <c r="A53" s="279"/>
      <c r="B53" s="551"/>
      <c r="C53" s="646"/>
      <c r="D53" s="647"/>
      <c r="E53" s="47" t="s">
        <v>326</v>
      </c>
      <c r="F53" s="32" t="s">
        <v>327</v>
      </c>
      <c r="G53" s="15">
        <v>10</v>
      </c>
      <c r="H53" s="59">
        <f>'TABLA GENERAL'!D67</f>
        <v>2800</v>
      </c>
      <c r="I53" s="115">
        <f t="shared" si="6"/>
        <v>28000</v>
      </c>
      <c r="J53" s="15">
        <v>0</v>
      </c>
      <c r="K53" s="60">
        <f t="shared" si="7"/>
        <v>0</v>
      </c>
      <c r="L53" s="15">
        <v>0</v>
      </c>
      <c r="M53" s="60">
        <f t="shared" si="8"/>
        <v>0</v>
      </c>
      <c r="N53" s="15">
        <v>0</v>
      </c>
      <c r="O53" s="60">
        <f t="shared" si="9"/>
        <v>0</v>
      </c>
      <c r="P53" s="15">
        <v>8</v>
      </c>
      <c r="Q53" s="60">
        <f t="shared" si="10"/>
        <v>22400</v>
      </c>
      <c r="R53" s="18">
        <f t="shared" si="5"/>
        <v>8</v>
      </c>
      <c r="S53" s="18">
        <f t="shared" si="5"/>
        <v>22400</v>
      </c>
      <c r="U53" s="470"/>
      <c r="V53" t="s">
        <v>867</v>
      </c>
    </row>
    <row r="54" spans="1:22" ht="16.5" customHeight="1" thickTop="1" thickBot="1" x14ac:dyDescent="0.3">
      <c r="A54" s="279"/>
      <c r="B54" s="551"/>
      <c r="C54" s="646"/>
      <c r="D54" s="647"/>
      <c r="E54" s="47" t="s">
        <v>328</v>
      </c>
      <c r="F54" s="32" t="s">
        <v>329</v>
      </c>
      <c r="G54" s="15">
        <v>20</v>
      </c>
      <c r="H54" s="59">
        <f>'TABLA GENERAL'!D68</f>
        <v>2500</v>
      </c>
      <c r="I54" s="115">
        <f t="shared" si="6"/>
        <v>50000</v>
      </c>
      <c r="J54" s="15">
        <v>0</v>
      </c>
      <c r="K54" s="60">
        <f t="shared" si="7"/>
        <v>0</v>
      </c>
      <c r="L54" s="15">
        <v>0</v>
      </c>
      <c r="M54" s="60">
        <f t="shared" si="8"/>
        <v>0</v>
      </c>
      <c r="N54" s="15">
        <v>0</v>
      </c>
      <c r="O54" s="60">
        <f t="shared" si="9"/>
        <v>0</v>
      </c>
      <c r="P54" s="15">
        <v>8</v>
      </c>
      <c r="Q54" s="60">
        <f t="shared" si="10"/>
        <v>20000</v>
      </c>
      <c r="R54" s="18">
        <f t="shared" si="5"/>
        <v>8</v>
      </c>
      <c r="S54" s="18">
        <f t="shared" si="5"/>
        <v>20000</v>
      </c>
      <c r="U54" s="470">
        <v>300000</v>
      </c>
      <c r="V54" t="s">
        <v>866</v>
      </c>
    </row>
    <row r="55" spans="1:22" ht="16.5" customHeight="1" thickTop="1" thickBot="1" x14ac:dyDescent="0.3">
      <c r="A55" s="279"/>
      <c r="B55" s="551"/>
      <c r="C55" s="646"/>
      <c r="D55" s="647"/>
      <c r="E55" s="47" t="s">
        <v>330</v>
      </c>
      <c r="F55" s="32" t="s">
        <v>331</v>
      </c>
      <c r="G55" s="15">
        <v>56</v>
      </c>
      <c r="H55" s="59">
        <f>'TABLA GENERAL'!D69</f>
        <v>712</v>
      </c>
      <c r="I55" s="115">
        <f t="shared" si="6"/>
        <v>39872</v>
      </c>
      <c r="J55" s="15">
        <v>12</v>
      </c>
      <c r="K55" s="60">
        <f t="shared" si="7"/>
        <v>8544</v>
      </c>
      <c r="L55" s="15">
        <v>0</v>
      </c>
      <c r="M55" s="60">
        <f t="shared" si="8"/>
        <v>0</v>
      </c>
      <c r="N55" s="15">
        <v>0</v>
      </c>
      <c r="O55" s="60">
        <f t="shared" si="9"/>
        <v>0</v>
      </c>
      <c r="P55" s="15">
        <v>42</v>
      </c>
      <c r="Q55" s="60">
        <f t="shared" si="10"/>
        <v>29904</v>
      </c>
      <c r="R55" s="18">
        <f t="shared" si="5"/>
        <v>54</v>
      </c>
      <c r="S55" s="18">
        <f t="shared" si="5"/>
        <v>38448</v>
      </c>
      <c r="U55">
        <v>150000</v>
      </c>
      <c r="V55" t="s">
        <v>868</v>
      </c>
    </row>
    <row r="56" spans="1:22" ht="31.5" thickTop="1" thickBot="1" x14ac:dyDescent="0.3">
      <c r="A56" s="279"/>
      <c r="B56" s="551"/>
      <c r="C56" s="648"/>
      <c r="D56" s="649"/>
      <c r="E56" s="47" t="s">
        <v>90</v>
      </c>
      <c r="F56" s="32" t="s">
        <v>89</v>
      </c>
      <c r="G56" s="15">
        <v>28</v>
      </c>
      <c r="H56" s="59">
        <f>'TABLA GENERAL'!D70</f>
        <v>52896</v>
      </c>
      <c r="I56" s="115">
        <f t="shared" si="6"/>
        <v>1481088</v>
      </c>
      <c r="J56" s="15">
        <v>0</v>
      </c>
      <c r="K56" s="60">
        <f t="shared" si="7"/>
        <v>0</v>
      </c>
      <c r="L56" s="15">
        <v>0</v>
      </c>
      <c r="M56" s="60">
        <f t="shared" si="8"/>
        <v>0</v>
      </c>
      <c r="N56" s="15">
        <v>0</v>
      </c>
      <c r="O56" s="60">
        <f t="shared" si="9"/>
        <v>0</v>
      </c>
      <c r="P56" s="15">
        <v>0</v>
      </c>
      <c r="Q56" s="60">
        <f t="shared" si="10"/>
        <v>0</v>
      </c>
      <c r="R56" s="18">
        <f t="shared" si="5"/>
        <v>0</v>
      </c>
      <c r="S56" s="18">
        <f t="shared" si="5"/>
        <v>0</v>
      </c>
      <c r="U56" s="471">
        <f>SUM(U49:U55)</f>
        <v>4100395.4915384613</v>
      </c>
    </row>
    <row r="57" spans="1:22" ht="16.5" customHeight="1" thickTop="1" thickBot="1" x14ac:dyDescent="0.3">
      <c r="A57" s="279"/>
      <c r="B57" s="551"/>
      <c r="C57" s="627" t="s">
        <v>332</v>
      </c>
      <c r="D57" s="650"/>
      <c r="E57" s="56" t="s">
        <v>333</v>
      </c>
      <c r="F57" s="32" t="s">
        <v>334</v>
      </c>
      <c r="G57" s="15">
        <v>10</v>
      </c>
      <c r="H57" s="59">
        <f>'TABLA GENERAL'!D71</f>
        <v>2156</v>
      </c>
      <c r="I57" s="115">
        <f t="shared" si="6"/>
        <v>21560</v>
      </c>
      <c r="J57" s="15">
        <v>0</v>
      </c>
      <c r="K57" s="60">
        <f t="shared" si="7"/>
        <v>0</v>
      </c>
      <c r="L57" s="15">
        <v>0</v>
      </c>
      <c r="M57" s="60">
        <f t="shared" si="8"/>
        <v>0</v>
      </c>
      <c r="N57" s="15">
        <v>0</v>
      </c>
      <c r="O57" s="60">
        <f t="shared" si="9"/>
        <v>0</v>
      </c>
      <c r="P57" s="15">
        <v>2</v>
      </c>
      <c r="Q57" s="60">
        <f t="shared" si="10"/>
        <v>4312</v>
      </c>
      <c r="R57" s="18">
        <f t="shared" si="5"/>
        <v>2</v>
      </c>
      <c r="S57" s="18">
        <f t="shared" si="5"/>
        <v>4312</v>
      </c>
    </row>
    <row r="58" spans="1:22" ht="16.5" customHeight="1" thickTop="1" thickBot="1" x14ac:dyDescent="0.3">
      <c r="A58" s="279"/>
      <c r="B58" s="551"/>
      <c r="C58" s="629"/>
      <c r="D58" s="639"/>
      <c r="E58" s="56" t="s">
        <v>335</v>
      </c>
      <c r="F58" s="32" t="s">
        <v>336</v>
      </c>
      <c r="G58" s="15">
        <v>26</v>
      </c>
      <c r="H58" s="59">
        <f>'TABLA GENERAL'!D72</f>
        <v>340.34</v>
      </c>
      <c r="I58" s="115">
        <f t="shared" si="6"/>
        <v>8848.84</v>
      </c>
      <c r="J58" s="15">
        <v>0</v>
      </c>
      <c r="K58" s="60">
        <f t="shared" si="7"/>
        <v>0</v>
      </c>
      <c r="L58" s="15">
        <v>0</v>
      </c>
      <c r="M58" s="60">
        <f t="shared" si="8"/>
        <v>0</v>
      </c>
      <c r="N58" s="15">
        <v>0</v>
      </c>
      <c r="O58" s="60">
        <f t="shared" si="9"/>
        <v>0</v>
      </c>
      <c r="P58" s="15">
        <v>14</v>
      </c>
      <c r="Q58" s="60">
        <f t="shared" si="10"/>
        <v>4764.7599999999993</v>
      </c>
      <c r="R58" s="18">
        <f t="shared" si="5"/>
        <v>14</v>
      </c>
      <c r="S58" s="18">
        <f t="shared" si="5"/>
        <v>4764.7599999999993</v>
      </c>
    </row>
    <row r="59" spans="1:22" ht="16.5" customHeight="1" thickTop="1" thickBot="1" x14ac:dyDescent="0.3">
      <c r="A59" s="279"/>
      <c r="B59" s="551"/>
      <c r="C59" s="629"/>
      <c r="D59" s="639"/>
      <c r="E59" s="56" t="s">
        <v>337</v>
      </c>
      <c r="F59" s="32" t="s">
        <v>338</v>
      </c>
      <c r="G59" s="15">
        <v>56</v>
      </c>
      <c r="H59" s="59">
        <f>'TABLA GENERAL'!D73</f>
        <v>119.36</v>
      </c>
      <c r="I59" s="115">
        <f t="shared" si="6"/>
        <v>6684.16</v>
      </c>
      <c r="J59" s="15">
        <v>0</v>
      </c>
      <c r="K59" s="60">
        <f t="shared" si="7"/>
        <v>0</v>
      </c>
      <c r="L59" s="15">
        <v>0</v>
      </c>
      <c r="M59" s="60">
        <f t="shared" si="8"/>
        <v>0</v>
      </c>
      <c r="N59" s="15">
        <v>0</v>
      </c>
      <c r="O59" s="60">
        <f t="shared" si="9"/>
        <v>0</v>
      </c>
      <c r="P59" s="15">
        <v>28</v>
      </c>
      <c r="Q59" s="60">
        <f t="shared" si="10"/>
        <v>3342.08</v>
      </c>
      <c r="R59" s="18">
        <f t="shared" si="5"/>
        <v>28</v>
      </c>
      <c r="S59" s="18">
        <f t="shared" si="5"/>
        <v>3342.08</v>
      </c>
    </row>
    <row r="60" spans="1:22" ht="16.5" customHeight="1" thickTop="1" thickBot="1" x14ac:dyDescent="0.3">
      <c r="A60" s="279"/>
      <c r="B60" s="551"/>
      <c r="C60" s="629"/>
      <c r="D60" s="639"/>
      <c r="E60" s="56" t="s">
        <v>339</v>
      </c>
      <c r="F60" s="32" t="s">
        <v>340</v>
      </c>
      <c r="G60" s="15">
        <v>8</v>
      </c>
      <c r="H60" s="59">
        <f>'TABLA GENERAL'!D74</f>
        <v>35.51</v>
      </c>
      <c r="I60" s="115">
        <f t="shared" si="6"/>
        <v>284.08</v>
      </c>
      <c r="J60" s="15">
        <v>0</v>
      </c>
      <c r="K60" s="60">
        <f t="shared" si="7"/>
        <v>0</v>
      </c>
      <c r="L60" s="15">
        <v>0</v>
      </c>
      <c r="M60" s="60">
        <f t="shared" si="8"/>
        <v>0</v>
      </c>
      <c r="N60" s="15">
        <v>0</v>
      </c>
      <c r="O60" s="60">
        <f t="shared" si="9"/>
        <v>0</v>
      </c>
      <c r="P60" s="15">
        <v>8</v>
      </c>
      <c r="Q60" s="60">
        <f t="shared" si="10"/>
        <v>284.08</v>
      </c>
      <c r="R60" s="18">
        <f t="shared" ref="R60:S108" si="11">P60+N60+L60+J60</f>
        <v>8</v>
      </c>
      <c r="S60" s="18">
        <f t="shared" si="11"/>
        <v>284.08</v>
      </c>
    </row>
    <row r="61" spans="1:22" ht="16.5" customHeight="1" thickTop="1" thickBot="1" x14ac:dyDescent="0.3">
      <c r="A61" s="279"/>
      <c r="B61" s="551"/>
      <c r="C61" s="629"/>
      <c r="D61" s="639"/>
      <c r="E61" s="56" t="s">
        <v>341</v>
      </c>
      <c r="F61" s="32" t="s">
        <v>342</v>
      </c>
      <c r="G61" s="15">
        <v>24</v>
      </c>
      <c r="H61" s="59">
        <f>'TABLA GENERAL'!D75</f>
        <v>313</v>
      </c>
      <c r="I61" s="115">
        <f t="shared" si="6"/>
        <v>7512</v>
      </c>
      <c r="J61" s="15">
        <v>0</v>
      </c>
      <c r="K61" s="60">
        <f t="shared" si="7"/>
        <v>0</v>
      </c>
      <c r="L61" s="15">
        <v>0</v>
      </c>
      <c r="M61" s="60">
        <f t="shared" si="8"/>
        <v>0</v>
      </c>
      <c r="N61" s="15">
        <v>0</v>
      </c>
      <c r="O61" s="60">
        <f t="shared" si="9"/>
        <v>0</v>
      </c>
      <c r="P61" s="15">
        <v>14</v>
      </c>
      <c r="Q61" s="60">
        <f t="shared" si="10"/>
        <v>4382</v>
      </c>
      <c r="R61" s="18">
        <f t="shared" si="11"/>
        <v>14</v>
      </c>
      <c r="S61" s="18">
        <f t="shared" si="11"/>
        <v>4382</v>
      </c>
    </row>
    <row r="62" spans="1:22" ht="16.5" customHeight="1" thickTop="1" thickBot="1" x14ac:dyDescent="0.3">
      <c r="A62" s="279"/>
      <c r="B62" s="551"/>
      <c r="C62" s="629"/>
      <c r="D62" s="639"/>
      <c r="E62" s="56" t="s">
        <v>343</v>
      </c>
      <c r="F62" s="32" t="s">
        <v>344</v>
      </c>
      <c r="G62" s="15">
        <v>24</v>
      </c>
      <c r="H62" s="59">
        <f>'TABLA GENERAL'!D76</f>
        <v>198.21</v>
      </c>
      <c r="I62" s="115">
        <f t="shared" si="6"/>
        <v>4757.04</v>
      </c>
      <c r="J62" s="15">
        <v>0</v>
      </c>
      <c r="K62" s="60">
        <f t="shared" si="7"/>
        <v>0</v>
      </c>
      <c r="L62" s="15">
        <v>0</v>
      </c>
      <c r="M62" s="60">
        <f t="shared" si="8"/>
        <v>0</v>
      </c>
      <c r="N62" s="15">
        <v>0</v>
      </c>
      <c r="O62" s="60">
        <f t="shared" si="9"/>
        <v>0</v>
      </c>
      <c r="P62" s="15">
        <v>14</v>
      </c>
      <c r="Q62" s="60">
        <f t="shared" si="10"/>
        <v>2774.94</v>
      </c>
      <c r="R62" s="18">
        <f t="shared" si="11"/>
        <v>14</v>
      </c>
      <c r="S62" s="18">
        <f t="shared" si="11"/>
        <v>2774.94</v>
      </c>
    </row>
    <row r="63" spans="1:22" ht="16.5" customHeight="1" thickTop="1" thickBot="1" x14ac:dyDescent="0.3">
      <c r="A63" s="279"/>
      <c r="B63" s="551"/>
      <c r="C63" s="629"/>
      <c r="D63" s="639"/>
      <c r="E63" s="56" t="s">
        <v>345</v>
      </c>
      <c r="F63" s="32" t="s">
        <v>346</v>
      </c>
      <c r="G63" s="20">
        <v>28</v>
      </c>
      <c r="H63" s="123">
        <f>'TABLA GENERAL'!D77</f>
        <v>660.47</v>
      </c>
      <c r="I63" s="115">
        <f t="shared" si="6"/>
        <v>18493.16</v>
      </c>
      <c r="J63" s="20">
        <v>0</v>
      </c>
      <c r="K63" s="60">
        <f t="shared" si="7"/>
        <v>0</v>
      </c>
      <c r="L63" s="15">
        <v>0</v>
      </c>
      <c r="M63" s="60">
        <f t="shared" si="8"/>
        <v>0</v>
      </c>
      <c r="N63" s="15">
        <v>0</v>
      </c>
      <c r="O63" s="60">
        <f t="shared" si="9"/>
        <v>0</v>
      </c>
      <c r="P63" s="20">
        <v>14</v>
      </c>
      <c r="Q63" s="60">
        <f t="shared" si="10"/>
        <v>9246.58</v>
      </c>
      <c r="R63" s="18">
        <f t="shared" si="11"/>
        <v>14</v>
      </c>
      <c r="S63" s="18">
        <f t="shared" si="11"/>
        <v>9246.58</v>
      </c>
    </row>
    <row r="64" spans="1:22" ht="16.5" customHeight="1" thickTop="1" thickBot="1" x14ac:dyDescent="0.3">
      <c r="A64" s="279"/>
      <c r="B64" s="551"/>
      <c r="C64" s="629"/>
      <c r="D64" s="639"/>
      <c r="E64" s="56" t="s">
        <v>347</v>
      </c>
      <c r="F64" s="32" t="s">
        <v>348</v>
      </c>
      <c r="G64" s="20">
        <v>56</v>
      </c>
      <c r="H64" s="123">
        <f>'TABLA GENERAL'!D78</f>
        <v>27.57</v>
      </c>
      <c r="I64" s="115">
        <f t="shared" si="6"/>
        <v>1543.92</v>
      </c>
      <c r="J64" s="20">
        <v>0</v>
      </c>
      <c r="K64" s="60">
        <f t="shared" si="7"/>
        <v>0</v>
      </c>
      <c r="L64" s="15">
        <v>0</v>
      </c>
      <c r="M64" s="60">
        <f t="shared" si="8"/>
        <v>0</v>
      </c>
      <c r="N64" s="15">
        <v>0</v>
      </c>
      <c r="O64" s="60">
        <f t="shared" si="9"/>
        <v>0</v>
      </c>
      <c r="P64" s="20">
        <v>28</v>
      </c>
      <c r="Q64" s="60">
        <f t="shared" si="10"/>
        <v>771.96</v>
      </c>
      <c r="R64" s="18">
        <f t="shared" si="11"/>
        <v>28</v>
      </c>
      <c r="S64" s="18">
        <f t="shared" si="11"/>
        <v>771.96</v>
      </c>
    </row>
    <row r="65" spans="1:19" ht="16.5" customHeight="1" thickTop="1" thickBot="1" x14ac:dyDescent="0.3">
      <c r="A65" s="279"/>
      <c r="B65" s="551"/>
      <c r="C65" s="629"/>
      <c r="D65" s="639"/>
      <c r="E65" s="56" t="s">
        <v>349</v>
      </c>
      <c r="F65" s="32" t="s">
        <v>350</v>
      </c>
      <c r="G65" s="20">
        <v>12</v>
      </c>
      <c r="H65" s="123">
        <f>'TABLA GENERAL'!D79</f>
        <v>153.30307692307693</v>
      </c>
      <c r="I65" s="115">
        <f t="shared" si="6"/>
        <v>1839.6369230769233</v>
      </c>
      <c r="J65" s="20">
        <v>0</v>
      </c>
      <c r="K65" s="60">
        <f t="shared" si="7"/>
        <v>0</v>
      </c>
      <c r="L65" s="15">
        <v>0</v>
      </c>
      <c r="M65" s="60">
        <f t="shared" si="8"/>
        <v>0</v>
      </c>
      <c r="N65" s="15">
        <v>0</v>
      </c>
      <c r="O65" s="60">
        <f t="shared" si="9"/>
        <v>0</v>
      </c>
      <c r="P65" s="20">
        <v>10</v>
      </c>
      <c r="Q65" s="60">
        <f t="shared" si="10"/>
        <v>1533.0307692307692</v>
      </c>
      <c r="R65" s="18">
        <f t="shared" si="11"/>
        <v>10</v>
      </c>
      <c r="S65" s="18">
        <f t="shared" si="11"/>
        <v>1533.0307692307692</v>
      </c>
    </row>
    <row r="66" spans="1:19" ht="16.5" customHeight="1" thickTop="1" thickBot="1" x14ac:dyDescent="0.3">
      <c r="A66" s="279"/>
      <c r="B66" s="551"/>
      <c r="C66" s="629"/>
      <c r="D66" s="639"/>
      <c r="E66" s="56" t="s">
        <v>351</v>
      </c>
      <c r="F66" s="32" t="s">
        <v>352</v>
      </c>
      <c r="G66" s="20">
        <v>8</v>
      </c>
      <c r="H66" s="123">
        <f>'TABLA GENERAL'!D80</f>
        <v>153.30307692307693</v>
      </c>
      <c r="I66" s="115">
        <f t="shared" si="6"/>
        <v>1226.4246153846154</v>
      </c>
      <c r="J66" s="20">
        <v>0</v>
      </c>
      <c r="K66" s="60">
        <f t="shared" si="7"/>
        <v>0</v>
      </c>
      <c r="L66" s="15">
        <v>0</v>
      </c>
      <c r="M66" s="60">
        <f t="shared" si="8"/>
        <v>0</v>
      </c>
      <c r="N66" s="15">
        <v>0</v>
      </c>
      <c r="O66" s="60">
        <f t="shared" si="9"/>
        <v>0</v>
      </c>
      <c r="P66" s="20">
        <v>8</v>
      </c>
      <c r="Q66" s="60">
        <f t="shared" si="10"/>
        <v>1226.4246153846154</v>
      </c>
      <c r="R66" s="18">
        <f t="shared" si="11"/>
        <v>8</v>
      </c>
      <c r="S66" s="18">
        <f t="shared" si="11"/>
        <v>1226.4246153846154</v>
      </c>
    </row>
    <row r="67" spans="1:19" ht="16.5" customHeight="1" thickTop="1" thickBot="1" x14ac:dyDescent="0.3">
      <c r="A67" s="279"/>
      <c r="B67" s="551"/>
      <c r="C67" s="629"/>
      <c r="D67" s="639"/>
      <c r="E67" s="56" t="s">
        <v>353</v>
      </c>
      <c r="F67" s="32" t="s">
        <v>354</v>
      </c>
      <c r="G67" s="20">
        <v>4</v>
      </c>
      <c r="H67" s="123">
        <f>'TABLA GENERAL'!D81</f>
        <v>3218</v>
      </c>
      <c r="I67" s="115">
        <f t="shared" si="6"/>
        <v>12872</v>
      </c>
      <c r="J67" s="20">
        <v>0</v>
      </c>
      <c r="K67" s="60">
        <f t="shared" si="7"/>
        <v>0</v>
      </c>
      <c r="L67" s="15">
        <v>0</v>
      </c>
      <c r="M67" s="60">
        <f t="shared" si="8"/>
        <v>0</v>
      </c>
      <c r="N67" s="15">
        <v>0</v>
      </c>
      <c r="O67" s="60">
        <f t="shared" si="9"/>
        <v>0</v>
      </c>
      <c r="P67" s="20">
        <v>2</v>
      </c>
      <c r="Q67" s="60">
        <f t="shared" si="10"/>
        <v>6436</v>
      </c>
      <c r="R67" s="18">
        <f t="shared" si="11"/>
        <v>2</v>
      </c>
      <c r="S67" s="18">
        <f t="shared" si="11"/>
        <v>6436</v>
      </c>
    </row>
    <row r="68" spans="1:19" ht="16.5" customHeight="1" thickTop="1" thickBot="1" x14ac:dyDescent="0.3">
      <c r="A68" s="279"/>
      <c r="B68" s="551"/>
      <c r="C68" s="629"/>
      <c r="D68" s="639"/>
      <c r="E68" s="56" t="s">
        <v>355</v>
      </c>
      <c r="F68" s="32" t="s">
        <v>356</v>
      </c>
      <c r="G68" s="20">
        <v>56</v>
      </c>
      <c r="H68" s="123">
        <f>'TABLA GENERAL'!D82</f>
        <v>64.36</v>
      </c>
      <c r="I68" s="115">
        <f t="shared" si="6"/>
        <v>3604.16</v>
      </c>
      <c r="J68" s="20">
        <v>0</v>
      </c>
      <c r="K68" s="60">
        <f t="shared" si="7"/>
        <v>0</v>
      </c>
      <c r="L68" s="15">
        <v>0</v>
      </c>
      <c r="M68" s="60">
        <f t="shared" si="8"/>
        <v>0</v>
      </c>
      <c r="N68" s="15">
        <v>0</v>
      </c>
      <c r="O68" s="60">
        <f t="shared" si="9"/>
        <v>0</v>
      </c>
      <c r="P68" s="20">
        <v>28</v>
      </c>
      <c r="Q68" s="60">
        <f t="shared" si="10"/>
        <v>1802.08</v>
      </c>
      <c r="R68" s="18">
        <f t="shared" si="11"/>
        <v>28</v>
      </c>
      <c r="S68" s="18">
        <f t="shared" si="11"/>
        <v>1802.08</v>
      </c>
    </row>
    <row r="69" spans="1:19" ht="16.5" customHeight="1" thickTop="1" thickBot="1" x14ac:dyDescent="0.3">
      <c r="A69" s="279"/>
      <c r="B69" s="551"/>
      <c r="C69" s="629"/>
      <c r="D69" s="639"/>
      <c r="E69" s="56" t="s">
        <v>357</v>
      </c>
      <c r="F69" s="32" t="s">
        <v>358</v>
      </c>
      <c r="G69" s="20">
        <v>320</v>
      </c>
      <c r="H69" s="123">
        <f>'TABLA GENERAL'!D85</f>
        <v>153.30307692307693</v>
      </c>
      <c r="I69" s="115">
        <f t="shared" si="6"/>
        <v>49056.984615384616</v>
      </c>
      <c r="J69" s="20">
        <v>0</v>
      </c>
      <c r="K69" s="60">
        <f t="shared" si="7"/>
        <v>0</v>
      </c>
      <c r="L69" s="15">
        <v>0</v>
      </c>
      <c r="M69" s="60">
        <f t="shared" si="8"/>
        <v>0</v>
      </c>
      <c r="N69" s="15">
        <v>0</v>
      </c>
      <c r="O69" s="60">
        <f t="shared" si="9"/>
        <v>0</v>
      </c>
      <c r="P69" s="20">
        <v>28</v>
      </c>
      <c r="Q69" s="60">
        <f t="shared" si="10"/>
        <v>4292.4861538461537</v>
      </c>
      <c r="R69" s="18">
        <f t="shared" si="11"/>
        <v>28</v>
      </c>
      <c r="S69" s="18">
        <f t="shared" si="11"/>
        <v>4292.4861538461537</v>
      </c>
    </row>
    <row r="70" spans="1:19" ht="16.5" customHeight="1" thickTop="1" thickBot="1" x14ac:dyDescent="0.3">
      <c r="A70" s="279"/>
      <c r="B70" s="551"/>
      <c r="C70" s="629"/>
      <c r="D70" s="639"/>
      <c r="E70" s="56" t="s">
        <v>359</v>
      </c>
      <c r="F70" s="32" t="s">
        <v>360</v>
      </c>
      <c r="G70" s="20">
        <v>56</v>
      </c>
      <c r="H70" s="123">
        <f>'TABLA GENERAL'!D86</f>
        <v>12.99</v>
      </c>
      <c r="I70" s="115">
        <f t="shared" si="6"/>
        <v>727.44</v>
      </c>
      <c r="J70" s="20">
        <v>0</v>
      </c>
      <c r="K70" s="60">
        <f t="shared" si="7"/>
        <v>0</v>
      </c>
      <c r="L70" s="15">
        <v>0</v>
      </c>
      <c r="M70" s="60">
        <f t="shared" si="8"/>
        <v>0</v>
      </c>
      <c r="N70" s="15">
        <v>0</v>
      </c>
      <c r="O70" s="60">
        <f t="shared" si="9"/>
        <v>0</v>
      </c>
      <c r="P70" s="20">
        <v>28</v>
      </c>
      <c r="Q70" s="60">
        <f t="shared" si="10"/>
        <v>363.72</v>
      </c>
      <c r="R70" s="18">
        <f t="shared" si="11"/>
        <v>28</v>
      </c>
      <c r="S70" s="18">
        <f t="shared" si="11"/>
        <v>363.72</v>
      </c>
    </row>
    <row r="71" spans="1:19" ht="16.5" customHeight="1" thickTop="1" thickBot="1" x14ac:dyDescent="0.3">
      <c r="A71" s="279"/>
      <c r="B71" s="551"/>
      <c r="C71" s="629"/>
      <c r="D71" s="639"/>
      <c r="E71" s="56" t="s">
        <v>361</v>
      </c>
      <c r="F71" s="32" t="s">
        <v>362</v>
      </c>
      <c r="G71" s="20">
        <v>56</v>
      </c>
      <c r="H71" s="123">
        <f>'TABLA GENERAL'!D87</f>
        <v>10.47</v>
      </c>
      <c r="I71" s="115">
        <f t="shared" si="6"/>
        <v>586.32000000000005</v>
      </c>
      <c r="J71" s="20">
        <v>0</v>
      </c>
      <c r="K71" s="60">
        <f t="shared" si="7"/>
        <v>0</v>
      </c>
      <c r="L71" s="15">
        <v>0</v>
      </c>
      <c r="M71" s="60">
        <f t="shared" si="8"/>
        <v>0</v>
      </c>
      <c r="N71" s="15">
        <v>0</v>
      </c>
      <c r="O71" s="60">
        <f t="shared" si="9"/>
        <v>0</v>
      </c>
      <c r="P71" s="20">
        <v>28</v>
      </c>
      <c r="Q71" s="60">
        <f t="shared" si="10"/>
        <v>293.16000000000003</v>
      </c>
      <c r="R71" s="18">
        <f t="shared" si="11"/>
        <v>28</v>
      </c>
      <c r="S71" s="18">
        <f t="shared" si="11"/>
        <v>293.16000000000003</v>
      </c>
    </row>
    <row r="72" spans="1:19" ht="16.5" customHeight="1" thickTop="1" thickBot="1" x14ac:dyDescent="0.3">
      <c r="A72" s="279"/>
      <c r="B72" s="551"/>
      <c r="C72" s="629"/>
      <c r="D72" s="639"/>
      <c r="E72" s="56" t="s">
        <v>363</v>
      </c>
      <c r="F72" s="32" t="s">
        <v>364</v>
      </c>
      <c r="G72" s="20">
        <v>56</v>
      </c>
      <c r="H72" s="123">
        <f>'TABLA GENERAL'!D87</f>
        <v>10.47</v>
      </c>
      <c r="I72" s="115">
        <f t="shared" si="6"/>
        <v>586.32000000000005</v>
      </c>
      <c r="J72" s="20">
        <v>0</v>
      </c>
      <c r="K72" s="60">
        <f t="shared" si="7"/>
        <v>0</v>
      </c>
      <c r="L72" s="15">
        <v>0</v>
      </c>
      <c r="M72" s="60">
        <f t="shared" si="8"/>
        <v>0</v>
      </c>
      <c r="N72" s="15">
        <v>0</v>
      </c>
      <c r="O72" s="60">
        <f t="shared" si="9"/>
        <v>0</v>
      </c>
      <c r="P72" s="20">
        <v>28</v>
      </c>
      <c r="Q72" s="60">
        <f t="shared" si="10"/>
        <v>293.16000000000003</v>
      </c>
      <c r="R72" s="18">
        <f t="shared" si="11"/>
        <v>28</v>
      </c>
      <c r="S72" s="18">
        <f t="shared" si="11"/>
        <v>293.16000000000003</v>
      </c>
    </row>
    <row r="73" spans="1:19" ht="16.5" customHeight="1" thickTop="1" thickBot="1" x14ac:dyDescent="0.3">
      <c r="A73" s="279"/>
      <c r="B73" s="551"/>
      <c r="C73" s="629"/>
      <c r="D73" s="639"/>
      <c r="E73" s="56" t="s">
        <v>365</v>
      </c>
      <c r="F73" s="32" t="s">
        <v>366</v>
      </c>
      <c r="G73" s="20">
        <v>28</v>
      </c>
      <c r="H73" s="123">
        <f>'TABLA GENERAL'!D89</f>
        <v>89.6</v>
      </c>
      <c r="I73" s="115">
        <f t="shared" si="6"/>
        <v>2508.7999999999997</v>
      </c>
      <c r="J73" s="20">
        <v>0</v>
      </c>
      <c r="K73" s="60">
        <f t="shared" si="7"/>
        <v>0</v>
      </c>
      <c r="L73" s="15">
        <v>0</v>
      </c>
      <c r="M73" s="60">
        <f t="shared" si="8"/>
        <v>0</v>
      </c>
      <c r="N73" s="15">
        <v>0</v>
      </c>
      <c r="O73" s="60">
        <f t="shared" si="9"/>
        <v>0</v>
      </c>
      <c r="P73" s="20">
        <v>28</v>
      </c>
      <c r="Q73" s="60">
        <f t="shared" si="10"/>
        <v>2508.7999999999997</v>
      </c>
      <c r="R73" s="18">
        <f t="shared" si="11"/>
        <v>28</v>
      </c>
      <c r="S73" s="18">
        <f t="shared" si="11"/>
        <v>2508.7999999999997</v>
      </c>
    </row>
    <row r="74" spans="1:19" ht="16.5" customHeight="1" thickTop="1" thickBot="1" x14ac:dyDescent="0.3">
      <c r="A74" s="279"/>
      <c r="B74" s="551"/>
      <c r="C74" s="629"/>
      <c r="D74" s="639"/>
      <c r="E74" s="56" t="s">
        <v>367</v>
      </c>
      <c r="F74" s="32" t="s">
        <v>368</v>
      </c>
      <c r="G74" s="20">
        <v>12</v>
      </c>
      <c r="H74" s="123">
        <f>'TABLA GENERAL'!D89</f>
        <v>89.6</v>
      </c>
      <c r="I74" s="115">
        <f t="shared" si="6"/>
        <v>1075.1999999999998</v>
      </c>
      <c r="J74" s="20">
        <v>0</v>
      </c>
      <c r="K74" s="60">
        <f t="shared" si="7"/>
        <v>0</v>
      </c>
      <c r="L74" s="15">
        <v>0</v>
      </c>
      <c r="M74" s="60">
        <f t="shared" si="8"/>
        <v>0</v>
      </c>
      <c r="N74" s="15">
        <v>0</v>
      </c>
      <c r="O74" s="60">
        <f t="shared" si="9"/>
        <v>0</v>
      </c>
      <c r="P74" s="20">
        <v>28</v>
      </c>
      <c r="Q74" s="60">
        <f t="shared" si="10"/>
        <v>2508.7999999999997</v>
      </c>
      <c r="R74" s="18">
        <f t="shared" si="11"/>
        <v>28</v>
      </c>
      <c r="S74" s="18">
        <f t="shared" si="11"/>
        <v>2508.7999999999997</v>
      </c>
    </row>
    <row r="75" spans="1:19" ht="16.5" customHeight="1" thickTop="1" thickBot="1" x14ac:dyDescent="0.3">
      <c r="A75" s="279"/>
      <c r="B75" s="551"/>
      <c r="C75" s="629"/>
      <c r="D75" s="639"/>
      <c r="E75" s="56" t="s">
        <v>369</v>
      </c>
      <c r="F75" s="32" t="s">
        <v>370</v>
      </c>
      <c r="G75" s="20">
        <v>28</v>
      </c>
      <c r="H75" s="123">
        <f>'TABLA GENERAL'!D91</f>
        <v>126.72</v>
      </c>
      <c r="I75" s="115">
        <f t="shared" si="6"/>
        <v>3548.16</v>
      </c>
      <c r="J75" s="20">
        <v>0</v>
      </c>
      <c r="K75" s="60">
        <f t="shared" si="7"/>
        <v>0</v>
      </c>
      <c r="L75" s="15">
        <v>0</v>
      </c>
      <c r="M75" s="60">
        <f t="shared" si="8"/>
        <v>0</v>
      </c>
      <c r="N75" s="15">
        <v>0</v>
      </c>
      <c r="O75" s="60">
        <f t="shared" si="9"/>
        <v>0</v>
      </c>
      <c r="P75" s="20">
        <v>28</v>
      </c>
      <c r="Q75" s="60">
        <f t="shared" si="10"/>
        <v>3548.16</v>
      </c>
      <c r="R75" s="18">
        <f t="shared" si="11"/>
        <v>28</v>
      </c>
      <c r="S75" s="18">
        <f t="shared" si="11"/>
        <v>3548.16</v>
      </c>
    </row>
    <row r="76" spans="1:19" ht="16.5" customHeight="1" thickTop="1" thickBot="1" x14ac:dyDescent="0.3">
      <c r="A76" s="279"/>
      <c r="B76" s="551"/>
      <c r="C76" s="629"/>
      <c r="D76" s="639"/>
      <c r="E76" s="56" t="s">
        <v>371</v>
      </c>
      <c r="F76" s="32" t="s">
        <v>372</v>
      </c>
      <c r="G76" s="15">
        <v>28</v>
      </c>
      <c r="H76" s="59">
        <f>'TABLA GENERAL'!D92</f>
        <v>288</v>
      </c>
      <c r="I76" s="115">
        <f t="shared" si="6"/>
        <v>8064</v>
      </c>
      <c r="J76" s="15">
        <v>0</v>
      </c>
      <c r="K76" s="60">
        <f t="shared" si="7"/>
        <v>0</v>
      </c>
      <c r="L76" s="15">
        <v>0</v>
      </c>
      <c r="M76" s="60">
        <f t="shared" si="8"/>
        <v>0</v>
      </c>
      <c r="N76" s="15">
        <v>0</v>
      </c>
      <c r="O76" s="60">
        <f t="shared" si="9"/>
        <v>0</v>
      </c>
      <c r="P76" s="15">
        <v>28</v>
      </c>
      <c r="Q76" s="60">
        <f t="shared" si="10"/>
        <v>8064</v>
      </c>
      <c r="R76" s="18">
        <f t="shared" si="11"/>
        <v>28</v>
      </c>
      <c r="S76" s="18">
        <f t="shared" si="11"/>
        <v>8064</v>
      </c>
    </row>
    <row r="77" spans="1:19" ht="16.5" customHeight="1" thickTop="1" thickBot="1" x14ac:dyDescent="0.3">
      <c r="A77" s="279"/>
      <c r="B77" s="551"/>
      <c r="C77" s="629"/>
      <c r="D77" s="639"/>
      <c r="E77" s="56" t="s">
        <v>373</v>
      </c>
      <c r="F77" s="32" t="s">
        <v>374</v>
      </c>
      <c r="G77" s="15">
        <v>28</v>
      </c>
      <c r="H77" s="59">
        <f>'TABLA GENERAL'!D93</f>
        <v>14</v>
      </c>
      <c r="I77" s="115">
        <f t="shared" si="6"/>
        <v>392</v>
      </c>
      <c r="J77" s="15">
        <v>0</v>
      </c>
      <c r="K77" s="60">
        <f t="shared" si="7"/>
        <v>0</v>
      </c>
      <c r="L77" s="15">
        <v>0</v>
      </c>
      <c r="M77" s="60">
        <f t="shared" si="8"/>
        <v>0</v>
      </c>
      <c r="N77" s="15">
        <v>0</v>
      </c>
      <c r="O77" s="60">
        <f t="shared" si="9"/>
        <v>0</v>
      </c>
      <c r="P77" s="15">
        <v>28</v>
      </c>
      <c r="Q77" s="60">
        <f t="shared" si="10"/>
        <v>392</v>
      </c>
      <c r="R77" s="18">
        <f t="shared" si="11"/>
        <v>28</v>
      </c>
      <c r="S77" s="18">
        <f t="shared" si="11"/>
        <v>392</v>
      </c>
    </row>
    <row r="78" spans="1:19" ht="16.5" customHeight="1" thickTop="1" thickBot="1" x14ac:dyDescent="0.3">
      <c r="A78" s="279"/>
      <c r="B78" s="551"/>
      <c r="C78" s="629"/>
      <c r="D78" s="639"/>
      <c r="E78" s="56" t="s">
        <v>375</v>
      </c>
      <c r="F78" s="32" t="s">
        <v>376</v>
      </c>
      <c r="G78" s="15">
        <v>28</v>
      </c>
      <c r="H78" s="59">
        <f>'TABLA GENERAL'!D94</f>
        <v>23.93</v>
      </c>
      <c r="I78" s="115">
        <f t="shared" si="6"/>
        <v>670.04</v>
      </c>
      <c r="J78" s="15">
        <v>0</v>
      </c>
      <c r="K78" s="60">
        <f t="shared" si="7"/>
        <v>0</v>
      </c>
      <c r="L78" s="15">
        <v>0</v>
      </c>
      <c r="M78" s="60">
        <f t="shared" si="8"/>
        <v>0</v>
      </c>
      <c r="N78" s="15">
        <v>0</v>
      </c>
      <c r="O78" s="60">
        <f t="shared" si="9"/>
        <v>0</v>
      </c>
      <c r="P78" s="15">
        <v>28</v>
      </c>
      <c r="Q78" s="60">
        <f t="shared" si="10"/>
        <v>670.04</v>
      </c>
      <c r="R78" s="18">
        <f t="shared" si="11"/>
        <v>28</v>
      </c>
      <c r="S78" s="18">
        <f t="shared" si="11"/>
        <v>670.04</v>
      </c>
    </row>
    <row r="79" spans="1:19" ht="16.5" customHeight="1" thickTop="1" thickBot="1" x14ac:dyDescent="0.3">
      <c r="A79" s="279"/>
      <c r="B79" s="551"/>
      <c r="C79" s="629"/>
      <c r="D79" s="639"/>
      <c r="E79" s="56" t="s">
        <v>377</v>
      </c>
      <c r="F79" s="32" t="s">
        <v>378</v>
      </c>
      <c r="G79" s="15">
        <v>28</v>
      </c>
      <c r="H79" s="59">
        <f>'TABLA GENERAL'!D95</f>
        <v>72.760000000000005</v>
      </c>
      <c r="I79" s="115">
        <f t="shared" si="6"/>
        <v>2037.2800000000002</v>
      </c>
      <c r="J79" s="15">
        <v>0</v>
      </c>
      <c r="K79" s="60">
        <f t="shared" si="7"/>
        <v>0</v>
      </c>
      <c r="L79" s="15">
        <v>0</v>
      </c>
      <c r="M79" s="60">
        <f t="shared" si="8"/>
        <v>0</v>
      </c>
      <c r="N79" s="15">
        <v>0</v>
      </c>
      <c r="O79" s="60">
        <f t="shared" si="9"/>
        <v>0</v>
      </c>
      <c r="P79" s="15">
        <v>28</v>
      </c>
      <c r="Q79" s="60">
        <f t="shared" si="10"/>
        <v>2037.2800000000002</v>
      </c>
      <c r="R79" s="18">
        <f t="shared" si="11"/>
        <v>28</v>
      </c>
      <c r="S79" s="18">
        <f t="shared" si="11"/>
        <v>2037.2800000000002</v>
      </c>
    </row>
    <row r="80" spans="1:19" ht="16.5" customHeight="1" thickTop="1" thickBot="1" x14ac:dyDescent="0.3">
      <c r="A80" s="279"/>
      <c r="B80" s="551"/>
      <c r="C80" s="629"/>
      <c r="D80" s="639"/>
      <c r="E80" s="56" t="s">
        <v>379</v>
      </c>
      <c r="F80" s="32" t="s">
        <v>380</v>
      </c>
      <c r="G80" s="15">
        <v>28</v>
      </c>
      <c r="H80" s="59">
        <f>'TABLA GENERAL'!D96</f>
        <v>71.319999999999993</v>
      </c>
      <c r="I80" s="115">
        <f t="shared" si="6"/>
        <v>1996.9599999999998</v>
      </c>
      <c r="J80" s="15">
        <v>0</v>
      </c>
      <c r="K80" s="60">
        <f t="shared" si="7"/>
        <v>0</v>
      </c>
      <c r="L80" s="15">
        <v>0</v>
      </c>
      <c r="M80" s="60">
        <f t="shared" si="8"/>
        <v>0</v>
      </c>
      <c r="N80" s="15">
        <v>0</v>
      </c>
      <c r="O80" s="60">
        <f t="shared" si="9"/>
        <v>0</v>
      </c>
      <c r="P80" s="15">
        <v>28</v>
      </c>
      <c r="Q80" s="60">
        <f t="shared" si="10"/>
        <v>1996.9599999999998</v>
      </c>
      <c r="R80" s="18">
        <f t="shared" si="11"/>
        <v>28</v>
      </c>
      <c r="S80" s="18">
        <f t="shared" si="11"/>
        <v>1996.9599999999998</v>
      </c>
    </row>
    <row r="81" spans="1:19" ht="16.5" customHeight="1" thickTop="1" thickBot="1" x14ac:dyDescent="0.3">
      <c r="A81" s="279"/>
      <c r="B81" s="551"/>
      <c r="C81" s="629"/>
      <c r="D81" s="639"/>
      <c r="E81" s="56" t="s">
        <v>381</v>
      </c>
      <c r="F81" s="32" t="s">
        <v>382</v>
      </c>
      <c r="G81" s="15">
        <v>20</v>
      </c>
      <c r="H81" s="59">
        <f>'TABLA GENERAL'!D97</f>
        <v>162</v>
      </c>
      <c r="I81" s="115">
        <f t="shared" si="6"/>
        <v>3240</v>
      </c>
      <c r="J81" s="15">
        <v>0</v>
      </c>
      <c r="K81" s="60">
        <f t="shared" si="7"/>
        <v>0</v>
      </c>
      <c r="L81" s="15">
        <v>0</v>
      </c>
      <c r="M81" s="60">
        <f t="shared" si="8"/>
        <v>0</v>
      </c>
      <c r="N81" s="15">
        <v>0</v>
      </c>
      <c r="O81" s="60">
        <f t="shared" si="9"/>
        <v>0</v>
      </c>
      <c r="P81" s="15">
        <v>10</v>
      </c>
      <c r="Q81" s="60">
        <f t="shared" si="10"/>
        <v>1620</v>
      </c>
      <c r="R81" s="18">
        <f t="shared" si="11"/>
        <v>10</v>
      </c>
      <c r="S81" s="18">
        <f t="shared" si="11"/>
        <v>1620</v>
      </c>
    </row>
    <row r="82" spans="1:19" ht="16.5" customHeight="1" thickTop="1" thickBot="1" x14ac:dyDescent="0.3">
      <c r="A82" s="279"/>
      <c r="B82" s="551"/>
      <c r="C82" s="629"/>
      <c r="D82" s="639"/>
      <c r="E82" s="56" t="s">
        <v>383</v>
      </c>
      <c r="F82" s="32" t="s">
        <v>384</v>
      </c>
      <c r="G82" s="15">
        <v>28</v>
      </c>
      <c r="H82" s="59">
        <f>'TABLA GENERAL'!D98</f>
        <v>94</v>
      </c>
      <c r="I82" s="115">
        <f t="shared" si="6"/>
        <v>2632</v>
      </c>
      <c r="J82" s="15">
        <v>0</v>
      </c>
      <c r="K82" s="60">
        <f t="shared" si="7"/>
        <v>0</v>
      </c>
      <c r="L82" s="15">
        <v>0</v>
      </c>
      <c r="M82" s="60">
        <f t="shared" si="8"/>
        <v>0</v>
      </c>
      <c r="N82" s="15">
        <v>0</v>
      </c>
      <c r="O82" s="60">
        <f t="shared" si="9"/>
        <v>0</v>
      </c>
      <c r="P82" s="15">
        <v>28</v>
      </c>
      <c r="Q82" s="60">
        <f t="shared" si="10"/>
        <v>2632</v>
      </c>
      <c r="R82" s="18">
        <f t="shared" si="11"/>
        <v>28</v>
      </c>
      <c r="S82" s="18">
        <f t="shared" si="11"/>
        <v>2632</v>
      </c>
    </row>
    <row r="83" spans="1:19" ht="16.5" customHeight="1" thickTop="1" thickBot="1" x14ac:dyDescent="0.3">
      <c r="A83" s="279"/>
      <c r="B83" s="551"/>
      <c r="C83" s="629"/>
      <c r="D83" s="639"/>
      <c r="E83" s="56" t="s">
        <v>385</v>
      </c>
      <c r="F83" s="32" t="s">
        <v>386</v>
      </c>
      <c r="G83" s="15">
        <v>112</v>
      </c>
      <c r="H83" s="59">
        <f>'TABLA GENERAL'!D99</f>
        <v>9</v>
      </c>
      <c r="I83" s="115">
        <f t="shared" si="6"/>
        <v>1008</v>
      </c>
      <c r="J83" s="15">
        <v>0</v>
      </c>
      <c r="K83" s="60">
        <f t="shared" si="7"/>
        <v>0</v>
      </c>
      <c r="L83" s="15">
        <v>0</v>
      </c>
      <c r="M83" s="60">
        <f t="shared" si="8"/>
        <v>0</v>
      </c>
      <c r="N83" s="15">
        <v>0</v>
      </c>
      <c r="O83" s="60">
        <f t="shared" si="9"/>
        <v>0</v>
      </c>
      <c r="P83" s="15">
        <v>28</v>
      </c>
      <c r="Q83" s="60">
        <f t="shared" si="10"/>
        <v>252</v>
      </c>
      <c r="R83" s="18">
        <f t="shared" si="11"/>
        <v>28</v>
      </c>
      <c r="S83" s="18">
        <f t="shared" si="11"/>
        <v>252</v>
      </c>
    </row>
    <row r="84" spans="1:19" ht="16.5" customHeight="1" thickTop="1" thickBot="1" x14ac:dyDescent="0.3">
      <c r="A84" s="279"/>
      <c r="B84" s="551"/>
      <c r="C84" s="629"/>
      <c r="D84" s="639"/>
      <c r="E84" s="56" t="s">
        <v>387</v>
      </c>
      <c r="F84" s="32" t="s">
        <v>388</v>
      </c>
      <c r="G84" s="15">
        <v>85</v>
      </c>
      <c r="H84" s="59">
        <f>'TABLA GENERAL'!D100</f>
        <v>13.49</v>
      </c>
      <c r="I84" s="115">
        <f t="shared" si="6"/>
        <v>1146.6500000000001</v>
      </c>
      <c r="J84" s="15">
        <v>0</v>
      </c>
      <c r="K84" s="60">
        <f t="shared" si="7"/>
        <v>0</v>
      </c>
      <c r="L84" s="15">
        <v>0</v>
      </c>
      <c r="M84" s="60">
        <f t="shared" si="8"/>
        <v>0</v>
      </c>
      <c r="N84" s="15">
        <v>0</v>
      </c>
      <c r="O84" s="60">
        <f t="shared" si="9"/>
        <v>0</v>
      </c>
      <c r="P84" s="15">
        <v>14</v>
      </c>
      <c r="Q84" s="60">
        <f t="shared" si="10"/>
        <v>188.86</v>
      </c>
      <c r="R84" s="18">
        <f t="shared" si="11"/>
        <v>14</v>
      </c>
      <c r="S84" s="18">
        <f t="shared" si="11"/>
        <v>188.86</v>
      </c>
    </row>
    <row r="85" spans="1:19" ht="16.5" customHeight="1" thickTop="1" thickBot="1" x14ac:dyDescent="0.3">
      <c r="A85" s="279"/>
      <c r="B85" s="551"/>
      <c r="C85" s="629"/>
      <c r="D85" s="639"/>
      <c r="E85" s="56" t="s">
        <v>389</v>
      </c>
      <c r="F85" s="32" t="s">
        <v>390</v>
      </c>
      <c r="G85" s="20">
        <v>20</v>
      </c>
      <c r="H85" s="123">
        <f>'TABLA GENERAL'!D101</f>
        <v>60.12</v>
      </c>
      <c r="I85" s="115">
        <f t="shared" si="6"/>
        <v>1202.3999999999999</v>
      </c>
      <c r="J85" s="20">
        <v>0</v>
      </c>
      <c r="K85" s="60">
        <f t="shared" si="7"/>
        <v>0</v>
      </c>
      <c r="L85" s="15">
        <v>0</v>
      </c>
      <c r="M85" s="60">
        <f t="shared" si="8"/>
        <v>0</v>
      </c>
      <c r="N85" s="15">
        <v>0</v>
      </c>
      <c r="O85" s="60">
        <f t="shared" si="9"/>
        <v>0</v>
      </c>
      <c r="P85" s="20">
        <v>14</v>
      </c>
      <c r="Q85" s="60">
        <f t="shared" si="10"/>
        <v>841.68</v>
      </c>
      <c r="R85" s="18">
        <f t="shared" si="11"/>
        <v>14</v>
      </c>
      <c r="S85" s="18">
        <f t="shared" si="11"/>
        <v>841.68</v>
      </c>
    </row>
    <row r="86" spans="1:19" ht="16.5" customHeight="1" thickTop="1" thickBot="1" x14ac:dyDescent="0.3">
      <c r="A86" s="279"/>
      <c r="B86" s="551"/>
      <c r="C86" s="629"/>
      <c r="D86" s="639"/>
      <c r="E86" s="56" t="s">
        <v>391</v>
      </c>
      <c r="F86" s="32" t="s">
        <v>392</v>
      </c>
      <c r="G86" s="20">
        <v>20</v>
      </c>
      <c r="H86" s="123">
        <f>'TABLA GENERAL'!D102</f>
        <v>43.2</v>
      </c>
      <c r="I86" s="115">
        <f t="shared" si="6"/>
        <v>864</v>
      </c>
      <c r="J86" s="20">
        <v>0</v>
      </c>
      <c r="K86" s="60">
        <f t="shared" si="7"/>
        <v>0</v>
      </c>
      <c r="L86" s="15">
        <v>0</v>
      </c>
      <c r="M86" s="60">
        <f t="shared" si="8"/>
        <v>0</v>
      </c>
      <c r="N86" s="15">
        <v>0</v>
      </c>
      <c r="O86" s="60">
        <f t="shared" si="9"/>
        <v>0</v>
      </c>
      <c r="P86" s="20">
        <v>14</v>
      </c>
      <c r="Q86" s="60">
        <f t="shared" si="10"/>
        <v>604.80000000000007</v>
      </c>
      <c r="R86" s="18">
        <f t="shared" si="11"/>
        <v>14</v>
      </c>
      <c r="S86" s="18">
        <f t="shared" si="11"/>
        <v>604.80000000000007</v>
      </c>
    </row>
    <row r="87" spans="1:19" ht="16.5" customHeight="1" thickTop="1" thickBot="1" x14ac:dyDescent="0.3">
      <c r="A87" s="279"/>
      <c r="B87" s="551"/>
      <c r="C87" s="629"/>
      <c r="D87" s="639"/>
      <c r="E87" s="56" t="s">
        <v>393</v>
      </c>
      <c r="F87" s="32" t="s">
        <v>394</v>
      </c>
      <c r="G87" s="20">
        <v>200</v>
      </c>
      <c r="H87" s="123">
        <f>'TABLA GENERAL'!D103</f>
        <v>96</v>
      </c>
      <c r="I87" s="115">
        <f t="shared" si="6"/>
        <v>19200</v>
      </c>
      <c r="J87" s="20">
        <v>0</v>
      </c>
      <c r="K87" s="60">
        <f t="shared" si="7"/>
        <v>0</v>
      </c>
      <c r="L87" s="15">
        <v>0</v>
      </c>
      <c r="M87" s="60">
        <f t="shared" si="8"/>
        <v>0</v>
      </c>
      <c r="N87" s="15">
        <v>0</v>
      </c>
      <c r="O87" s="60">
        <f t="shared" si="9"/>
        <v>0</v>
      </c>
      <c r="P87" s="20">
        <v>28</v>
      </c>
      <c r="Q87" s="60">
        <f t="shared" si="10"/>
        <v>2688</v>
      </c>
      <c r="R87" s="18">
        <f t="shared" si="11"/>
        <v>28</v>
      </c>
      <c r="S87" s="18">
        <f t="shared" si="11"/>
        <v>2688</v>
      </c>
    </row>
    <row r="88" spans="1:19" ht="16.5" customHeight="1" thickTop="1" thickBot="1" x14ac:dyDescent="0.3">
      <c r="A88" s="279"/>
      <c r="B88" s="551"/>
      <c r="C88" s="629"/>
      <c r="D88" s="639"/>
      <c r="E88" s="56" t="s">
        <v>395</v>
      </c>
      <c r="F88" s="32" t="s">
        <v>396</v>
      </c>
      <c r="G88" s="20">
        <v>510</v>
      </c>
      <c r="H88" s="123">
        <f>'TABLA GENERAL'!D104</f>
        <v>183.74</v>
      </c>
      <c r="I88" s="115">
        <f t="shared" si="6"/>
        <v>93707.400000000009</v>
      </c>
      <c r="J88" s="20">
        <v>0</v>
      </c>
      <c r="K88" s="60">
        <f t="shared" si="7"/>
        <v>0</v>
      </c>
      <c r="L88" s="15">
        <v>0</v>
      </c>
      <c r="M88" s="60">
        <f t="shared" si="8"/>
        <v>0</v>
      </c>
      <c r="N88" s="15">
        <v>0</v>
      </c>
      <c r="O88" s="60">
        <f t="shared" si="9"/>
        <v>0</v>
      </c>
      <c r="P88" s="20">
        <v>28</v>
      </c>
      <c r="Q88" s="60">
        <f t="shared" si="10"/>
        <v>5144.72</v>
      </c>
      <c r="R88" s="18">
        <f t="shared" si="11"/>
        <v>28</v>
      </c>
      <c r="S88" s="18">
        <f t="shared" si="11"/>
        <v>5144.72</v>
      </c>
    </row>
    <row r="89" spans="1:19" ht="16.5" customHeight="1" thickTop="1" thickBot="1" x14ac:dyDescent="0.3">
      <c r="A89" s="279"/>
      <c r="B89" s="551"/>
      <c r="C89" s="629"/>
      <c r="D89" s="639"/>
      <c r="E89" s="56" t="s">
        <v>397</v>
      </c>
      <c r="F89" s="32" t="s">
        <v>398</v>
      </c>
      <c r="G89" s="20">
        <v>18</v>
      </c>
      <c r="H89" s="123">
        <f>'TABLA GENERAL'!D105</f>
        <v>220.08</v>
      </c>
      <c r="I89" s="115">
        <f t="shared" si="6"/>
        <v>3961.44</v>
      </c>
      <c r="J89" s="20">
        <v>0</v>
      </c>
      <c r="K89" s="60">
        <f t="shared" si="7"/>
        <v>0</v>
      </c>
      <c r="L89" s="15">
        <v>0</v>
      </c>
      <c r="M89" s="60">
        <f t="shared" si="8"/>
        <v>0</v>
      </c>
      <c r="N89" s="15">
        <v>0</v>
      </c>
      <c r="O89" s="60">
        <f t="shared" si="9"/>
        <v>0</v>
      </c>
      <c r="P89" s="20">
        <v>12</v>
      </c>
      <c r="Q89" s="60">
        <f t="shared" si="10"/>
        <v>2640.96</v>
      </c>
      <c r="R89" s="18">
        <f t="shared" si="11"/>
        <v>12</v>
      </c>
      <c r="S89" s="18">
        <f t="shared" si="11"/>
        <v>2640.96</v>
      </c>
    </row>
    <row r="90" spans="1:19" ht="16.5" customHeight="1" thickTop="1" thickBot="1" x14ac:dyDescent="0.3">
      <c r="A90" s="279"/>
      <c r="B90" s="551"/>
      <c r="C90" s="629"/>
      <c r="D90" s="639"/>
      <c r="E90" s="56" t="s">
        <v>399</v>
      </c>
      <c r="F90" s="32" t="s">
        <v>400</v>
      </c>
      <c r="G90" s="20">
        <v>12</v>
      </c>
      <c r="H90" s="123">
        <f>'TABLA GENERAL'!D106</f>
        <v>304.33</v>
      </c>
      <c r="I90" s="115">
        <f t="shared" si="6"/>
        <v>3651.96</v>
      </c>
      <c r="J90" s="20">
        <v>0</v>
      </c>
      <c r="K90" s="60">
        <f t="shared" si="7"/>
        <v>0</v>
      </c>
      <c r="L90" s="15">
        <v>0</v>
      </c>
      <c r="M90" s="60">
        <f t="shared" si="8"/>
        <v>0</v>
      </c>
      <c r="N90" s="15">
        <v>0</v>
      </c>
      <c r="O90" s="60">
        <f t="shared" si="9"/>
        <v>0</v>
      </c>
      <c r="P90" s="20">
        <v>12</v>
      </c>
      <c r="Q90" s="60">
        <f t="shared" si="10"/>
        <v>3651.96</v>
      </c>
      <c r="R90" s="18">
        <f t="shared" si="11"/>
        <v>12</v>
      </c>
      <c r="S90" s="18">
        <f t="shared" si="11"/>
        <v>3651.96</v>
      </c>
    </row>
    <row r="91" spans="1:19" ht="16.5" customHeight="1" thickTop="1" thickBot="1" x14ac:dyDescent="0.3">
      <c r="A91" s="279"/>
      <c r="B91" s="551"/>
      <c r="C91" s="629"/>
      <c r="D91" s="639"/>
      <c r="E91" s="56" t="s">
        <v>401</v>
      </c>
      <c r="F91" s="32" t="s">
        <v>402</v>
      </c>
      <c r="G91" s="20">
        <v>28</v>
      </c>
      <c r="H91" s="123">
        <f>'TABLA GENERAL'!D107</f>
        <v>55.78</v>
      </c>
      <c r="I91" s="115">
        <f t="shared" si="6"/>
        <v>1561.8400000000001</v>
      </c>
      <c r="J91" s="20">
        <v>0</v>
      </c>
      <c r="K91" s="60">
        <f t="shared" si="7"/>
        <v>0</v>
      </c>
      <c r="L91" s="15">
        <v>0</v>
      </c>
      <c r="M91" s="60">
        <f t="shared" si="8"/>
        <v>0</v>
      </c>
      <c r="N91" s="15">
        <v>0</v>
      </c>
      <c r="O91" s="60">
        <f t="shared" si="9"/>
        <v>0</v>
      </c>
      <c r="P91" s="20">
        <v>14</v>
      </c>
      <c r="Q91" s="60">
        <f t="shared" si="10"/>
        <v>780.92000000000007</v>
      </c>
      <c r="R91" s="18">
        <f t="shared" si="11"/>
        <v>14</v>
      </c>
      <c r="S91" s="18">
        <f t="shared" si="11"/>
        <v>780.92000000000007</v>
      </c>
    </row>
    <row r="92" spans="1:19" ht="16.5" customHeight="1" thickTop="1" thickBot="1" x14ac:dyDescent="0.3">
      <c r="A92" s="280"/>
      <c r="B92" s="551"/>
      <c r="C92" s="629"/>
      <c r="D92" s="639"/>
      <c r="E92" s="56" t="s">
        <v>403</v>
      </c>
      <c r="F92" s="57" t="s">
        <v>404</v>
      </c>
      <c r="G92" s="20">
        <v>28</v>
      </c>
      <c r="H92" s="123">
        <f>'TABLA GENERAL'!D108</f>
        <v>48.74</v>
      </c>
      <c r="I92" s="115">
        <f t="shared" si="6"/>
        <v>1364.72</v>
      </c>
      <c r="J92" s="20">
        <v>0</v>
      </c>
      <c r="K92" s="60">
        <f t="shared" si="7"/>
        <v>0</v>
      </c>
      <c r="L92" s="15">
        <v>0</v>
      </c>
      <c r="M92" s="60">
        <f t="shared" si="8"/>
        <v>0</v>
      </c>
      <c r="N92" s="15">
        <v>0</v>
      </c>
      <c r="O92" s="60">
        <f t="shared" si="9"/>
        <v>0</v>
      </c>
      <c r="P92" s="20">
        <v>14</v>
      </c>
      <c r="Q92" s="60">
        <f t="shared" si="10"/>
        <v>682.36</v>
      </c>
      <c r="R92" s="18">
        <f t="shared" si="11"/>
        <v>14</v>
      </c>
      <c r="S92" s="18">
        <f t="shared" si="11"/>
        <v>682.36</v>
      </c>
    </row>
    <row r="93" spans="1:19" ht="16.5" customHeight="1" thickTop="1" thickBot="1" x14ac:dyDescent="0.3">
      <c r="A93" s="281" t="s">
        <v>309</v>
      </c>
      <c r="B93" s="551"/>
      <c r="C93" s="629"/>
      <c r="D93" s="639"/>
      <c r="E93" s="56" t="s">
        <v>405</v>
      </c>
      <c r="F93" s="48" t="s">
        <v>406</v>
      </c>
      <c r="G93" s="15">
        <v>28</v>
      </c>
      <c r="H93" s="59">
        <f>'TABLA GENERAL'!D111</f>
        <v>243.21</v>
      </c>
      <c r="I93" s="115">
        <f t="shared" si="6"/>
        <v>6809.88</v>
      </c>
      <c r="J93" s="20">
        <v>0</v>
      </c>
      <c r="K93" s="60">
        <f t="shared" si="7"/>
        <v>0</v>
      </c>
      <c r="L93" s="20">
        <v>0</v>
      </c>
      <c r="M93" s="60">
        <f t="shared" si="8"/>
        <v>0</v>
      </c>
      <c r="N93" s="19">
        <v>0</v>
      </c>
      <c r="O93" s="60">
        <f t="shared" si="9"/>
        <v>0</v>
      </c>
      <c r="P93" s="19">
        <v>14</v>
      </c>
      <c r="Q93" s="60">
        <f t="shared" si="10"/>
        <v>3404.94</v>
      </c>
      <c r="R93" s="18">
        <f t="shared" si="11"/>
        <v>14</v>
      </c>
      <c r="S93" s="18">
        <f t="shared" si="11"/>
        <v>3404.94</v>
      </c>
    </row>
    <row r="94" spans="1:19" ht="16.5" customHeight="1" thickTop="1" thickBot="1" x14ac:dyDescent="0.3">
      <c r="A94" s="279"/>
      <c r="B94" s="551"/>
      <c r="C94" s="629"/>
      <c r="D94" s="639"/>
      <c r="E94" s="56" t="s">
        <v>407</v>
      </c>
      <c r="F94" s="32" t="s">
        <v>722</v>
      </c>
      <c r="G94" s="20">
        <v>28</v>
      </c>
      <c r="H94" s="59">
        <f>'TABLA GENERAL'!D112</f>
        <v>183.74</v>
      </c>
      <c r="I94" s="115">
        <f t="shared" si="6"/>
        <v>5144.72</v>
      </c>
      <c r="J94" s="20">
        <v>0</v>
      </c>
      <c r="K94" s="60">
        <f t="shared" si="7"/>
        <v>0</v>
      </c>
      <c r="L94" s="20">
        <v>0</v>
      </c>
      <c r="M94" s="60">
        <f t="shared" si="8"/>
        <v>0</v>
      </c>
      <c r="N94" s="19">
        <v>0</v>
      </c>
      <c r="O94" s="60">
        <f t="shared" si="9"/>
        <v>0</v>
      </c>
      <c r="P94" s="19">
        <v>14</v>
      </c>
      <c r="Q94" s="60">
        <f t="shared" si="10"/>
        <v>2572.36</v>
      </c>
      <c r="R94" s="18">
        <f t="shared" si="11"/>
        <v>14</v>
      </c>
      <c r="S94" s="18">
        <f t="shared" si="11"/>
        <v>2572.36</v>
      </c>
    </row>
    <row r="95" spans="1:19" ht="16.5" customHeight="1" thickTop="1" thickBot="1" x14ac:dyDescent="0.3">
      <c r="A95" s="279"/>
      <c r="B95" s="551"/>
      <c r="C95" s="629"/>
      <c r="D95" s="639"/>
      <c r="E95" s="56" t="s">
        <v>408</v>
      </c>
      <c r="F95" s="32" t="s">
        <v>409</v>
      </c>
      <c r="G95" s="20">
        <v>28</v>
      </c>
      <c r="H95" s="59">
        <f>'TABLA GENERAL'!D113</f>
        <v>144.34</v>
      </c>
      <c r="I95" s="115">
        <f t="shared" si="6"/>
        <v>4041.52</v>
      </c>
      <c r="J95" s="20">
        <v>0</v>
      </c>
      <c r="K95" s="60">
        <f t="shared" si="7"/>
        <v>0</v>
      </c>
      <c r="L95" s="20">
        <v>0</v>
      </c>
      <c r="M95" s="60">
        <f t="shared" si="8"/>
        <v>0</v>
      </c>
      <c r="N95" s="19">
        <v>0</v>
      </c>
      <c r="O95" s="60">
        <f t="shared" si="9"/>
        <v>0</v>
      </c>
      <c r="P95" s="19">
        <v>14</v>
      </c>
      <c r="Q95" s="60">
        <f t="shared" si="10"/>
        <v>2020.76</v>
      </c>
      <c r="R95" s="18">
        <f t="shared" si="11"/>
        <v>14</v>
      </c>
      <c r="S95" s="18">
        <f t="shared" si="11"/>
        <v>2020.76</v>
      </c>
    </row>
    <row r="96" spans="1:19" ht="16.5" customHeight="1" thickTop="1" thickBot="1" x14ac:dyDescent="0.3">
      <c r="A96" s="279"/>
      <c r="B96" s="551"/>
      <c r="C96" s="629"/>
      <c r="D96" s="639"/>
      <c r="E96" s="56" t="s">
        <v>410</v>
      </c>
      <c r="F96" s="32" t="s">
        <v>411</v>
      </c>
      <c r="G96" s="20">
        <v>4</v>
      </c>
      <c r="H96" s="59">
        <f>'TABLA GENERAL'!D114</f>
        <v>3218</v>
      </c>
      <c r="I96" s="115">
        <f t="shared" si="6"/>
        <v>12872</v>
      </c>
      <c r="J96" s="20">
        <v>0</v>
      </c>
      <c r="K96" s="60">
        <f t="shared" si="7"/>
        <v>0</v>
      </c>
      <c r="L96" s="20">
        <v>0</v>
      </c>
      <c r="M96" s="60">
        <f t="shared" si="8"/>
        <v>0</v>
      </c>
      <c r="N96" s="19">
        <v>0</v>
      </c>
      <c r="O96" s="60">
        <f t="shared" si="9"/>
        <v>0</v>
      </c>
      <c r="P96" s="19">
        <v>4</v>
      </c>
      <c r="Q96" s="60">
        <f t="shared" si="10"/>
        <v>12872</v>
      </c>
      <c r="R96" s="18">
        <f t="shared" si="11"/>
        <v>4</v>
      </c>
      <c r="S96" s="18">
        <f t="shared" si="11"/>
        <v>12872</v>
      </c>
    </row>
    <row r="97" spans="1:19" ht="16.5" customHeight="1" thickTop="1" thickBot="1" x14ac:dyDescent="0.3">
      <c r="A97" s="279"/>
      <c r="B97" s="551"/>
      <c r="C97" s="629"/>
      <c r="D97" s="639"/>
      <c r="E97" s="56" t="s">
        <v>412</v>
      </c>
      <c r="F97" s="32" t="s">
        <v>413</v>
      </c>
      <c r="G97" s="20">
        <v>28</v>
      </c>
      <c r="H97" s="59">
        <f>'TABLA GENERAL'!D115</f>
        <v>608.75</v>
      </c>
      <c r="I97" s="115">
        <f t="shared" si="6"/>
        <v>17045</v>
      </c>
      <c r="J97" s="20">
        <v>0</v>
      </c>
      <c r="K97" s="60">
        <f t="shared" si="7"/>
        <v>0</v>
      </c>
      <c r="L97" s="20">
        <v>0</v>
      </c>
      <c r="M97" s="60">
        <f t="shared" si="8"/>
        <v>0</v>
      </c>
      <c r="N97" s="19">
        <v>0</v>
      </c>
      <c r="O97" s="60">
        <f t="shared" si="9"/>
        <v>0</v>
      </c>
      <c r="P97" s="19">
        <v>14</v>
      </c>
      <c r="Q97" s="60">
        <f t="shared" si="10"/>
        <v>8522.5</v>
      </c>
      <c r="R97" s="18">
        <f t="shared" si="11"/>
        <v>14</v>
      </c>
      <c r="S97" s="18">
        <f t="shared" si="11"/>
        <v>8522.5</v>
      </c>
    </row>
    <row r="98" spans="1:19" ht="16.5" customHeight="1" thickTop="1" thickBot="1" x14ac:dyDescent="0.3">
      <c r="A98" s="279"/>
      <c r="B98" s="551"/>
      <c r="C98" s="629"/>
      <c r="D98" s="639"/>
      <c r="E98" s="56" t="s">
        <v>414</v>
      </c>
      <c r="F98" s="32" t="s">
        <v>415</v>
      </c>
      <c r="G98" s="20">
        <v>28</v>
      </c>
      <c r="H98" s="59">
        <f>'TABLA GENERAL'!D116</f>
        <v>954.84</v>
      </c>
      <c r="I98" s="115">
        <f t="shared" si="6"/>
        <v>26735.52</v>
      </c>
      <c r="J98" s="20">
        <v>0</v>
      </c>
      <c r="K98" s="60">
        <f t="shared" si="7"/>
        <v>0</v>
      </c>
      <c r="L98" s="20">
        <v>0</v>
      </c>
      <c r="M98" s="60">
        <f t="shared" si="8"/>
        <v>0</v>
      </c>
      <c r="N98" s="19">
        <v>0</v>
      </c>
      <c r="O98" s="60">
        <f t="shared" si="9"/>
        <v>0</v>
      </c>
      <c r="P98" s="19">
        <v>14</v>
      </c>
      <c r="Q98" s="60">
        <f t="shared" si="10"/>
        <v>13367.76</v>
      </c>
      <c r="R98" s="18">
        <f t="shared" si="11"/>
        <v>14</v>
      </c>
      <c r="S98" s="18">
        <f t="shared" si="11"/>
        <v>13367.76</v>
      </c>
    </row>
    <row r="99" spans="1:19" ht="16.5" customHeight="1" thickTop="1" thickBot="1" x14ac:dyDescent="0.3">
      <c r="A99" s="279"/>
      <c r="B99" s="551"/>
      <c r="C99" s="629"/>
      <c r="D99" s="639"/>
      <c r="E99" s="56" t="s">
        <v>416</v>
      </c>
      <c r="F99" s="32" t="s">
        <v>417</v>
      </c>
      <c r="G99" s="20">
        <v>28</v>
      </c>
      <c r="H99" s="59">
        <f>'TABLA GENERAL'!D117</f>
        <v>789.12</v>
      </c>
      <c r="I99" s="115">
        <f t="shared" si="6"/>
        <v>22095.360000000001</v>
      </c>
      <c r="J99" s="20">
        <v>0</v>
      </c>
      <c r="K99" s="60">
        <f t="shared" si="7"/>
        <v>0</v>
      </c>
      <c r="L99" s="20">
        <v>0</v>
      </c>
      <c r="M99" s="60">
        <f t="shared" si="8"/>
        <v>0</v>
      </c>
      <c r="N99" s="19">
        <v>0</v>
      </c>
      <c r="O99" s="60">
        <f t="shared" si="9"/>
        <v>0</v>
      </c>
      <c r="P99" s="19">
        <v>14</v>
      </c>
      <c r="Q99" s="60">
        <f t="shared" si="10"/>
        <v>11047.68</v>
      </c>
      <c r="R99" s="18">
        <f t="shared" si="11"/>
        <v>14</v>
      </c>
      <c r="S99" s="18">
        <f t="shared" si="11"/>
        <v>11047.68</v>
      </c>
    </row>
    <row r="100" spans="1:19" ht="16.5" customHeight="1" thickTop="1" thickBot="1" x14ac:dyDescent="0.3">
      <c r="A100" s="279"/>
      <c r="B100" s="551"/>
      <c r="C100" s="629"/>
      <c r="D100" s="639"/>
      <c r="E100" s="56" t="s">
        <v>418</v>
      </c>
      <c r="F100" s="32" t="s">
        <v>419</v>
      </c>
      <c r="G100" s="15">
        <v>28</v>
      </c>
      <c r="H100" s="59">
        <f>'TABLA GENERAL'!D118</f>
        <v>77.3</v>
      </c>
      <c r="I100" s="115">
        <f t="shared" si="6"/>
        <v>2164.4</v>
      </c>
      <c r="J100" s="20">
        <v>0</v>
      </c>
      <c r="K100" s="60">
        <f t="shared" si="7"/>
        <v>0</v>
      </c>
      <c r="L100" s="20">
        <v>0</v>
      </c>
      <c r="M100" s="60">
        <f t="shared" si="8"/>
        <v>0</v>
      </c>
      <c r="N100" s="19">
        <v>0</v>
      </c>
      <c r="O100" s="60">
        <f t="shared" si="9"/>
        <v>0</v>
      </c>
      <c r="P100" s="19">
        <v>14</v>
      </c>
      <c r="Q100" s="60">
        <f t="shared" si="10"/>
        <v>1082.2</v>
      </c>
      <c r="R100" s="18">
        <f t="shared" si="11"/>
        <v>14</v>
      </c>
      <c r="S100" s="18">
        <f t="shared" si="11"/>
        <v>1082.2</v>
      </c>
    </row>
    <row r="101" spans="1:19" ht="16.5" customHeight="1" thickTop="1" thickBot="1" x14ac:dyDescent="0.3">
      <c r="A101" s="279"/>
      <c r="B101" s="551"/>
      <c r="C101" s="629"/>
      <c r="D101" s="639"/>
      <c r="E101" s="56" t="s">
        <v>420</v>
      </c>
      <c r="F101" s="32" t="s">
        <v>421</v>
      </c>
      <c r="G101" s="15">
        <v>28</v>
      </c>
      <c r="H101" s="59">
        <f>'TABLA GENERAL'!D119</f>
        <v>192.94</v>
      </c>
      <c r="I101" s="115">
        <f t="shared" si="6"/>
        <v>5402.32</v>
      </c>
      <c r="J101" s="20">
        <v>0</v>
      </c>
      <c r="K101" s="60">
        <f t="shared" si="7"/>
        <v>0</v>
      </c>
      <c r="L101" s="20">
        <v>0</v>
      </c>
      <c r="M101" s="60">
        <f t="shared" si="8"/>
        <v>0</v>
      </c>
      <c r="N101" s="19">
        <v>0</v>
      </c>
      <c r="O101" s="60">
        <f t="shared" si="9"/>
        <v>0</v>
      </c>
      <c r="P101" s="19">
        <v>14</v>
      </c>
      <c r="Q101" s="60">
        <f t="shared" si="10"/>
        <v>2701.16</v>
      </c>
      <c r="R101" s="18">
        <f t="shared" si="11"/>
        <v>14</v>
      </c>
      <c r="S101" s="18">
        <f t="shared" si="11"/>
        <v>2701.16</v>
      </c>
    </row>
    <row r="102" spans="1:19" ht="16.5" customHeight="1" thickTop="1" thickBot="1" x14ac:dyDescent="0.3">
      <c r="A102" s="279"/>
      <c r="B102" s="552"/>
      <c r="C102" s="635"/>
      <c r="D102" s="651"/>
      <c r="E102" s="56" t="s">
        <v>422</v>
      </c>
      <c r="F102" s="32" t="s">
        <v>423</v>
      </c>
      <c r="G102" s="15">
        <v>28</v>
      </c>
      <c r="H102" s="59">
        <f>'TABLA GENERAL'!D120</f>
        <v>550</v>
      </c>
      <c r="I102" s="115">
        <f t="shared" si="6"/>
        <v>15400</v>
      </c>
      <c r="J102" s="20">
        <v>0</v>
      </c>
      <c r="K102" s="60">
        <f t="shared" si="7"/>
        <v>0</v>
      </c>
      <c r="L102" s="20">
        <v>0</v>
      </c>
      <c r="M102" s="60">
        <f t="shared" si="8"/>
        <v>0</v>
      </c>
      <c r="N102" s="19">
        <v>0</v>
      </c>
      <c r="O102" s="60">
        <f t="shared" si="9"/>
        <v>0</v>
      </c>
      <c r="P102" s="19">
        <v>14</v>
      </c>
      <c r="Q102" s="60">
        <f t="shared" si="10"/>
        <v>7700</v>
      </c>
      <c r="R102" s="18">
        <f t="shared" si="11"/>
        <v>14</v>
      </c>
      <c r="S102" s="18">
        <f t="shared" si="11"/>
        <v>7700</v>
      </c>
    </row>
    <row r="103" spans="1:19" ht="90" customHeight="1" thickBot="1" x14ac:dyDescent="0.3">
      <c r="A103" s="279"/>
      <c r="B103" s="550" t="s">
        <v>752</v>
      </c>
      <c r="C103" s="629"/>
      <c r="D103" s="639"/>
      <c r="E103" s="269"/>
      <c r="F103" s="112" t="s">
        <v>85</v>
      </c>
      <c r="G103" s="269" t="s">
        <v>229</v>
      </c>
      <c r="H103" s="269" t="s">
        <v>123</v>
      </c>
      <c r="I103" s="113" t="s">
        <v>230</v>
      </c>
      <c r="J103" s="269">
        <v>2021</v>
      </c>
      <c r="K103" s="269" t="s">
        <v>79</v>
      </c>
      <c r="L103" s="269">
        <v>2022</v>
      </c>
      <c r="M103" s="269" t="s">
        <v>79</v>
      </c>
      <c r="N103" s="269">
        <v>2023</v>
      </c>
      <c r="O103" s="269" t="s">
        <v>79</v>
      </c>
      <c r="P103" s="269">
        <v>2025</v>
      </c>
      <c r="Q103" s="269" t="s">
        <v>79</v>
      </c>
      <c r="R103" s="269" t="s">
        <v>124</v>
      </c>
      <c r="S103" s="269" t="s">
        <v>77</v>
      </c>
    </row>
    <row r="104" spans="1:19" ht="16.5" customHeight="1" thickTop="1" thickBot="1" x14ac:dyDescent="0.3">
      <c r="A104" s="279"/>
      <c r="B104" s="551"/>
      <c r="C104" s="627" t="s">
        <v>424</v>
      </c>
      <c r="D104" s="637" t="s">
        <v>425</v>
      </c>
      <c r="E104" s="56" t="s">
        <v>76</v>
      </c>
      <c r="F104" s="32" t="s">
        <v>75</v>
      </c>
      <c r="G104" s="15">
        <v>4</v>
      </c>
      <c r="H104" s="59">
        <f>'TABLA GENERAL'!D121</f>
        <v>15700</v>
      </c>
      <c r="I104" s="115">
        <f t="shared" si="6"/>
        <v>62800</v>
      </c>
      <c r="J104" s="20">
        <v>0</v>
      </c>
      <c r="K104" s="60">
        <f t="shared" si="7"/>
        <v>0</v>
      </c>
      <c r="L104" s="20">
        <v>0</v>
      </c>
      <c r="M104" s="60">
        <f t="shared" si="8"/>
        <v>0</v>
      </c>
      <c r="N104" s="19">
        <v>1</v>
      </c>
      <c r="O104" s="60">
        <f t="shared" si="9"/>
        <v>15700</v>
      </c>
      <c r="P104" s="19">
        <v>3</v>
      </c>
      <c r="Q104" s="60">
        <f t="shared" si="10"/>
        <v>47100</v>
      </c>
      <c r="R104" s="18">
        <f t="shared" si="11"/>
        <v>4</v>
      </c>
      <c r="S104" s="18">
        <f t="shared" si="11"/>
        <v>62800</v>
      </c>
    </row>
    <row r="105" spans="1:19" ht="76.5" customHeight="1" thickTop="1" thickBot="1" x14ac:dyDescent="0.3">
      <c r="A105" s="279"/>
      <c r="B105" s="551"/>
      <c r="C105" s="629"/>
      <c r="D105" s="638"/>
      <c r="E105" s="56" t="s">
        <v>74</v>
      </c>
      <c r="F105" s="32" t="s">
        <v>73</v>
      </c>
      <c r="G105" s="15">
        <v>4</v>
      </c>
      <c r="H105" s="59">
        <f>'TABLA GENERAL'!D122</f>
        <v>45800</v>
      </c>
      <c r="I105" s="115">
        <f t="shared" si="6"/>
        <v>183200</v>
      </c>
      <c r="J105" s="20">
        <v>0</v>
      </c>
      <c r="K105" s="60">
        <f t="shared" si="7"/>
        <v>0</v>
      </c>
      <c r="L105" s="20">
        <v>0</v>
      </c>
      <c r="M105" s="60">
        <f t="shared" si="8"/>
        <v>0</v>
      </c>
      <c r="N105" s="19">
        <v>1</v>
      </c>
      <c r="O105" s="60">
        <f t="shared" si="9"/>
        <v>45800</v>
      </c>
      <c r="P105" s="19">
        <v>1</v>
      </c>
      <c r="Q105" s="60">
        <f t="shared" si="10"/>
        <v>45800</v>
      </c>
      <c r="R105" s="18">
        <f t="shared" si="11"/>
        <v>2</v>
      </c>
      <c r="S105" s="18">
        <f t="shared" si="11"/>
        <v>91600</v>
      </c>
    </row>
    <row r="106" spans="1:19" ht="16.5" customHeight="1" thickTop="1" thickBot="1" x14ac:dyDescent="0.3">
      <c r="A106" s="279"/>
      <c r="B106" s="551"/>
      <c r="C106" s="629"/>
      <c r="D106" s="638"/>
      <c r="E106" s="56" t="s">
        <v>72</v>
      </c>
      <c r="F106" s="32" t="s">
        <v>71</v>
      </c>
      <c r="G106" s="15">
        <v>28</v>
      </c>
      <c r="H106" s="59">
        <f>'TABLA GENERAL'!D123</f>
        <v>4090</v>
      </c>
      <c r="I106" s="115">
        <f t="shared" si="6"/>
        <v>114520</v>
      </c>
      <c r="J106" s="20">
        <v>0</v>
      </c>
      <c r="K106" s="60">
        <f t="shared" si="7"/>
        <v>0</v>
      </c>
      <c r="L106" s="20">
        <v>0</v>
      </c>
      <c r="M106" s="60">
        <f t="shared" si="8"/>
        <v>0</v>
      </c>
      <c r="N106" s="19">
        <v>9</v>
      </c>
      <c r="O106" s="60">
        <f t="shared" si="9"/>
        <v>36810</v>
      </c>
      <c r="P106" s="19">
        <v>10</v>
      </c>
      <c r="Q106" s="60">
        <f t="shared" si="10"/>
        <v>40900</v>
      </c>
      <c r="R106" s="18">
        <f t="shared" si="11"/>
        <v>19</v>
      </c>
      <c r="S106" s="18">
        <f t="shared" si="11"/>
        <v>77710</v>
      </c>
    </row>
    <row r="107" spans="1:19" ht="16.5" customHeight="1" thickTop="1" thickBot="1" x14ac:dyDescent="0.3">
      <c r="A107" s="279"/>
      <c r="B107" s="551"/>
      <c r="C107" s="629"/>
      <c r="D107" s="638"/>
      <c r="E107" s="56" t="s">
        <v>339</v>
      </c>
      <c r="F107" s="32" t="s">
        <v>426</v>
      </c>
      <c r="G107" s="15">
        <v>28</v>
      </c>
      <c r="H107" s="59">
        <f>'TABLA GENERAL'!D124</f>
        <v>3650</v>
      </c>
      <c r="I107" s="115">
        <f t="shared" si="6"/>
        <v>102200</v>
      </c>
      <c r="J107" s="20">
        <v>0</v>
      </c>
      <c r="K107" s="60">
        <f t="shared" si="7"/>
        <v>0</v>
      </c>
      <c r="L107" s="20">
        <v>0</v>
      </c>
      <c r="M107" s="60">
        <f t="shared" si="8"/>
        <v>0</v>
      </c>
      <c r="N107" s="19">
        <v>9</v>
      </c>
      <c r="O107" s="60">
        <f t="shared" si="9"/>
        <v>32850</v>
      </c>
      <c r="P107" s="19">
        <v>10</v>
      </c>
      <c r="Q107" s="60">
        <f t="shared" si="10"/>
        <v>36500</v>
      </c>
      <c r="R107" s="18">
        <f t="shared" si="11"/>
        <v>19</v>
      </c>
      <c r="S107" s="18">
        <f t="shared" si="11"/>
        <v>69350</v>
      </c>
    </row>
    <row r="108" spans="1:19" ht="31.5" thickTop="1" thickBot="1" x14ac:dyDescent="0.3">
      <c r="A108" s="279"/>
      <c r="B108" s="551"/>
      <c r="C108" s="629"/>
      <c r="D108" s="638"/>
      <c r="E108" s="56" t="s">
        <v>427</v>
      </c>
      <c r="F108" s="32" t="s">
        <v>428</v>
      </c>
      <c r="G108" s="15">
        <v>8</v>
      </c>
      <c r="H108" s="59">
        <f>'TABLA GENERAL'!D125</f>
        <v>5100</v>
      </c>
      <c r="I108" s="115">
        <f t="shared" si="6"/>
        <v>40800</v>
      </c>
      <c r="J108" s="20">
        <v>0</v>
      </c>
      <c r="K108" s="60">
        <f t="shared" si="7"/>
        <v>0</v>
      </c>
      <c r="L108" s="20">
        <v>0</v>
      </c>
      <c r="M108" s="60">
        <f t="shared" si="8"/>
        <v>0</v>
      </c>
      <c r="N108" s="19">
        <v>3</v>
      </c>
      <c r="O108" s="60">
        <f t="shared" si="9"/>
        <v>15300</v>
      </c>
      <c r="P108" s="19">
        <v>5</v>
      </c>
      <c r="Q108" s="60">
        <f t="shared" si="10"/>
        <v>25500</v>
      </c>
      <c r="R108" s="18">
        <f t="shared" si="11"/>
        <v>8</v>
      </c>
      <c r="S108" s="18">
        <f t="shared" si="11"/>
        <v>40800</v>
      </c>
    </row>
    <row r="109" spans="1:19" ht="16.5" customHeight="1" thickTop="1" thickBot="1" x14ac:dyDescent="0.3">
      <c r="A109" s="279"/>
      <c r="B109" s="551"/>
      <c r="C109" s="629"/>
      <c r="D109" s="638"/>
      <c r="E109" s="56" t="s">
        <v>429</v>
      </c>
      <c r="F109" s="32" t="s">
        <v>430</v>
      </c>
      <c r="G109" s="15">
        <v>84</v>
      </c>
      <c r="H109" s="59">
        <f>'TABLA GENERAL'!D126</f>
        <v>20800</v>
      </c>
      <c r="I109" s="115">
        <f t="shared" si="6"/>
        <v>1747200</v>
      </c>
      <c r="J109" s="20">
        <v>0</v>
      </c>
      <c r="K109" s="60">
        <f t="shared" si="7"/>
        <v>0</v>
      </c>
      <c r="L109" s="20">
        <v>0</v>
      </c>
      <c r="M109" s="60">
        <f t="shared" si="8"/>
        <v>0</v>
      </c>
      <c r="N109" s="19">
        <f>G109/3</f>
        <v>28</v>
      </c>
      <c r="O109" s="60">
        <f t="shared" si="9"/>
        <v>582400</v>
      </c>
      <c r="P109" s="19">
        <v>14</v>
      </c>
      <c r="Q109" s="60">
        <f t="shared" si="10"/>
        <v>291200</v>
      </c>
      <c r="R109" s="18">
        <f t="shared" ref="R109:S132" si="12">P109+N109+L109+J109</f>
        <v>42</v>
      </c>
      <c r="S109" s="18">
        <f t="shared" si="12"/>
        <v>873600</v>
      </c>
    </row>
    <row r="110" spans="1:19" ht="16.5" customHeight="1" thickTop="1" thickBot="1" x14ac:dyDescent="0.3">
      <c r="A110" s="279"/>
      <c r="B110" s="551"/>
      <c r="C110" s="629"/>
      <c r="D110" s="638"/>
      <c r="E110" s="56" t="s">
        <v>431</v>
      </c>
      <c r="F110" s="32" t="s">
        <v>432</v>
      </c>
      <c r="G110" s="15">
        <v>84</v>
      </c>
      <c r="H110" s="59">
        <f>'TABLA GENERAL'!D127</f>
        <v>0</v>
      </c>
      <c r="I110" s="115">
        <f t="shared" ref="I110:I130" si="13">G110*H110</f>
        <v>0</v>
      </c>
      <c r="J110" s="20">
        <v>0</v>
      </c>
      <c r="K110" s="60">
        <f t="shared" ref="K110:K131" si="14">J110*H110</f>
        <v>0</v>
      </c>
      <c r="L110" s="20">
        <v>0</v>
      </c>
      <c r="M110" s="60">
        <f t="shared" ref="M110:M131" si="15">L110*H110</f>
        <v>0</v>
      </c>
      <c r="N110" s="19">
        <f>G110/3</f>
        <v>28</v>
      </c>
      <c r="O110" s="60">
        <f t="shared" ref="O110:O131" si="16">N110*H110</f>
        <v>0</v>
      </c>
      <c r="P110" s="19">
        <v>14</v>
      </c>
      <c r="Q110" s="60">
        <f t="shared" ref="Q110:Q131" si="17">P110*H110</f>
        <v>0</v>
      </c>
      <c r="R110" s="18">
        <f t="shared" si="12"/>
        <v>42</v>
      </c>
      <c r="S110" s="18">
        <f t="shared" si="12"/>
        <v>0</v>
      </c>
    </row>
    <row r="111" spans="1:19" ht="16.5" customHeight="1" thickTop="1" thickBot="1" x14ac:dyDescent="0.3">
      <c r="A111" s="279"/>
      <c r="B111" s="551"/>
      <c r="C111" s="629"/>
      <c r="D111" s="638"/>
      <c r="E111" s="56" t="s">
        <v>433</v>
      </c>
      <c r="F111" s="32" t="s">
        <v>434</v>
      </c>
      <c r="G111" s="15">
        <v>88</v>
      </c>
      <c r="H111" s="59">
        <f>'TABLA GENERAL'!D128</f>
        <v>0</v>
      </c>
      <c r="I111" s="115">
        <f t="shared" si="13"/>
        <v>0</v>
      </c>
      <c r="J111" s="20">
        <v>0</v>
      </c>
      <c r="K111" s="60">
        <f t="shared" si="14"/>
        <v>0</v>
      </c>
      <c r="L111" s="20">
        <v>0</v>
      </c>
      <c r="M111" s="60">
        <f t="shared" si="15"/>
        <v>0</v>
      </c>
      <c r="N111" s="19">
        <v>29</v>
      </c>
      <c r="O111" s="60">
        <f t="shared" si="16"/>
        <v>0</v>
      </c>
      <c r="P111" s="19">
        <v>28</v>
      </c>
      <c r="Q111" s="60">
        <f t="shared" si="17"/>
        <v>0</v>
      </c>
      <c r="R111" s="18">
        <f t="shared" si="12"/>
        <v>57</v>
      </c>
      <c r="S111" s="18">
        <f t="shared" si="12"/>
        <v>0</v>
      </c>
    </row>
    <row r="112" spans="1:19" ht="16.5" customHeight="1" thickTop="1" thickBot="1" x14ac:dyDescent="0.3">
      <c r="A112" s="279"/>
      <c r="B112" s="551"/>
      <c r="C112" s="629"/>
      <c r="D112" s="638"/>
      <c r="E112" s="56" t="s">
        <v>435</v>
      </c>
      <c r="F112" s="32" t="s">
        <v>436</v>
      </c>
      <c r="G112" s="15">
        <v>91</v>
      </c>
      <c r="H112" s="59">
        <f>'TABLA GENERAL'!D129</f>
        <v>30</v>
      </c>
      <c r="I112" s="115">
        <f t="shared" si="13"/>
        <v>2730</v>
      </c>
      <c r="J112" s="20">
        <v>0</v>
      </c>
      <c r="K112" s="60">
        <f t="shared" si="14"/>
        <v>0</v>
      </c>
      <c r="L112" s="20">
        <v>0</v>
      </c>
      <c r="M112" s="60">
        <f t="shared" si="15"/>
        <v>0</v>
      </c>
      <c r="N112" s="19">
        <v>0</v>
      </c>
      <c r="O112" s="60">
        <f t="shared" si="16"/>
        <v>0</v>
      </c>
      <c r="P112" s="19">
        <v>28</v>
      </c>
      <c r="Q112" s="60">
        <f t="shared" si="17"/>
        <v>840</v>
      </c>
      <c r="R112" s="18">
        <f t="shared" si="12"/>
        <v>28</v>
      </c>
      <c r="S112" s="18">
        <f t="shared" si="12"/>
        <v>840</v>
      </c>
    </row>
    <row r="113" spans="1:19" ht="16.5" customHeight="1" thickTop="1" thickBot="1" x14ac:dyDescent="0.3">
      <c r="A113" s="279"/>
      <c r="B113" s="551"/>
      <c r="C113" s="629"/>
      <c r="D113" s="638"/>
      <c r="E113" s="56" t="s">
        <v>437</v>
      </c>
      <c r="F113" s="32" t="s">
        <v>438</v>
      </c>
      <c r="G113" s="15">
        <v>98</v>
      </c>
      <c r="H113" s="59">
        <f>'TABLA GENERAL'!D130</f>
        <v>2150</v>
      </c>
      <c r="I113" s="115">
        <f t="shared" si="13"/>
        <v>210700</v>
      </c>
      <c r="J113" s="20">
        <v>0</v>
      </c>
      <c r="K113" s="60">
        <f t="shared" si="14"/>
        <v>0</v>
      </c>
      <c r="L113" s="20">
        <v>0</v>
      </c>
      <c r="M113" s="60">
        <f t="shared" si="15"/>
        <v>0</v>
      </c>
      <c r="N113" s="19">
        <v>28</v>
      </c>
      <c r="O113" s="60">
        <f t="shared" si="16"/>
        <v>60200</v>
      </c>
      <c r="P113" s="19">
        <v>28</v>
      </c>
      <c r="Q113" s="60">
        <f t="shared" si="17"/>
        <v>60200</v>
      </c>
      <c r="R113" s="18">
        <f t="shared" si="12"/>
        <v>56</v>
      </c>
      <c r="S113" s="18">
        <f t="shared" si="12"/>
        <v>120400</v>
      </c>
    </row>
    <row r="114" spans="1:19" ht="16.5" customHeight="1" thickTop="1" thickBot="1" x14ac:dyDescent="0.3">
      <c r="A114" s="279"/>
      <c r="B114" s="551"/>
      <c r="C114" s="629"/>
      <c r="D114" s="638"/>
      <c r="E114" s="56" t="s">
        <v>439</v>
      </c>
      <c r="F114" s="32" t="s">
        <v>440</v>
      </c>
      <c r="G114" s="15">
        <v>96</v>
      </c>
      <c r="H114" s="59">
        <f>'TABLA GENERAL'!D131</f>
        <v>70.209999999999994</v>
      </c>
      <c r="I114" s="115">
        <f t="shared" si="13"/>
        <v>6740.16</v>
      </c>
      <c r="J114" s="20">
        <v>0</v>
      </c>
      <c r="K114" s="60">
        <f t="shared" si="14"/>
        <v>0</v>
      </c>
      <c r="L114" s="20">
        <v>0</v>
      </c>
      <c r="M114" s="60">
        <f t="shared" si="15"/>
        <v>0</v>
      </c>
      <c r="N114" s="19">
        <v>0</v>
      </c>
      <c r="O114" s="60">
        <f t="shared" si="16"/>
        <v>0</v>
      </c>
      <c r="P114" s="19">
        <v>28</v>
      </c>
      <c r="Q114" s="60">
        <f t="shared" si="17"/>
        <v>1965.8799999999999</v>
      </c>
      <c r="R114" s="18">
        <f t="shared" si="12"/>
        <v>28</v>
      </c>
      <c r="S114" s="18">
        <f t="shared" si="12"/>
        <v>1965.8799999999999</v>
      </c>
    </row>
    <row r="115" spans="1:19" ht="16.5" customHeight="1" thickTop="1" thickBot="1" x14ac:dyDescent="0.3">
      <c r="A115" s="279"/>
      <c r="B115" s="551"/>
      <c r="C115" s="629"/>
      <c r="D115" s="638"/>
      <c r="E115" s="56" t="s">
        <v>441</v>
      </c>
      <c r="F115" s="32" t="s">
        <v>442</v>
      </c>
      <c r="G115" s="15">
        <v>84</v>
      </c>
      <c r="H115" s="59">
        <f>'TABLA GENERAL'!D132</f>
        <v>3700</v>
      </c>
      <c r="I115" s="115">
        <f t="shared" si="13"/>
        <v>310800</v>
      </c>
      <c r="J115" s="20">
        <v>0</v>
      </c>
      <c r="K115" s="60">
        <f t="shared" si="14"/>
        <v>0</v>
      </c>
      <c r="L115" s="20">
        <v>0</v>
      </c>
      <c r="M115" s="60">
        <f t="shared" si="15"/>
        <v>0</v>
      </c>
      <c r="N115" s="19">
        <v>0</v>
      </c>
      <c r="O115" s="60">
        <f t="shared" si="16"/>
        <v>0</v>
      </c>
      <c r="P115" s="19">
        <v>28</v>
      </c>
      <c r="Q115" s="60">
        <f t="shared" si="17"/>
        <v>103600</v>
      </c>
      <c r="R115" s="18">
        <f t="shared" si="12"/>
        <v>28</v>
      </c>
      <c r="S115" s="18">
        <f t="shared" si="12"/>
        <v>103600</v>
      </c>
    </row>
    <row r="116" spans="1:19" ht="16.5" customHeight="1" thickTop="1" thickBot="1" x14ac:dyDescent="0.3">
      <c r="A116" s="279"/>
      <c r="B116" s="551"/>
      <c r="C116" s="629"/>
      <c r="D116" s="638"/>
      <c r="E116" s="56" t="s">
        <v>443</v>
      </c>
      <c r="F116" s="32" t="s">
        <v>444</v>
      </c>
      <c r="G116" s="15">
        <v>126</v>
      </c>
      <c r="H116" s="59">
        <f>'TABLA GENERAL'!D133</f>
        <v>568</v>
      </c>
      <c r="I116" s="115">
        <f t="shared" si="13"/>
        <v>71568</v>
      </c>
      <c r="J116" s="20">
        <v>0</v>
      </c>
      <c r="K116" s="60">
        <f t="shared" si="14"/>
        <v>0</v>
      </c>
      <c r="L116" s="20">
        <v>0</v>
      </c>
      <c r="M116" s="60">
        <f t="shared" si="15"/>
        <v>0</v>
      </c>
      <c r="N116" s="19">
        <v>0</v>
      </c>
      <c r="O116" s="60">
        <f t="shared" si="16"/>
        <v>0</v>
      </c>
      <c r="P116" s="19">
        <v>28</v>
      </c>
      <c r="Q116" s="60">
        <f t="shared" si="17"/>
        <v>15904</v>
      </c>
      <c r="R116" s="18">
        <f t="shared" si="12"/>
        <v>28</v>
      </c>
      <c r="S116" s="18">
        <f t="shared" si="12"/>
        <v>15904</v>
      </c>
    </row>
    <row r="117" spans="1:19" ht="16.5" customHeight="1" thickTop="1" thickBot="1" x14ac:dyDescent="0.3">
      <c r="A117" s="279"/>
      <c r="B117" s="551"/>
      <c r="C117" s="629"/>
      <c r="D117" s="638"/>
      <c r="E117" s="56" t="s">
        <v>445</v>
      </c>
      <c r="F117" s="32" t="s">
        <v>446</v>
      </c>
      <c r="G117" s="15">
        <v>9</v>
      </c>
      <c r="H117" s="59">
        <f>'TABLA GENERAL'!D135</f>
        <v>200</v>
      </c>
      <c r="I117" s="115">
        <f t="shared" si="13"/>
        <v>1800</v>
      </c>
      <c r="J117" s="20">
        <v>0</v>
      </c>
      <c r="K117" s="60">
        <f t="shared" si="14"/>
        <v>0</v>
      </c>
      <c r="L117" s="20">
        <v>0</v>
      </c>
      <c r="M117" s="60">
        <f t="shared" si="15"/>
        <v>0</v>
      </c>
      <c r="N117" s="19">
        <v>0</v>
      </c>
      <c r="O117" s="60">
        <f t="shared" si="16"/>
        <v>0</v>
      </c>
      <c r="P117" s="19">
        <v>8</v>
      </c>
      <c r="Q117" s="60">
        <f t="shared" si="17"/>
        <v>1600</v>
      </c>
      <c r="R117" s="18">
        <f t="shared" si="12"/>
        <v>8</v>
      </c>
      <c r="S117" s="18">
        <f t="shared" si="12"/>
        <v>1600</v>
      </c>
    </row>
    <row r="118" spans="1:19" ht="16.5" customHeight="1" thickTop="1" thickBot="1" x14ac:dyDescent="0.3">
      <c r="A118" s="279"/>
      <c r="B118" s="551"/>
      <c r="C118" s="629"/>
      <c r="D118" s="638"/>
      <c r="E118" s="56" t="s">
        <v>447</v>
      </c>
      <c r="F118" s="32" t="s">
        <v>448</v>
      </c>
      <c r="G118" s="15">
        <v>9</v>
      </c>
      <c r="H118" s="59">
        <f>'TABLA GENERAL'!D136</f>
        <v>485</v>
      </c>
      <c r="I118" s="115">
        <f t="shared" si="13"/>
        <v>4365</v>
      </c>
      <c r="J118" s="20">
        <v>0</v>
      </c>
      <c r="K118" s="60">
        <f t="shared" si="14"/>
        <v>0</v>
      </c>
      <c r="L118" s="20">
        <v>1</v>
      </c>
      <c r="M118" s="60">
        <f t="shared" si="15"/>
        <v>485</v>
      </c>
      <c r="N118" s="19">
        <f t="shared" ref="N118" si="18">G118/3</f>
        <v>3</v>
      </c>
      <c r="O118" s="60">
        <f t="shared" si="16"/>
        <v>1455</v>
      </c>
      <c r="P118" s="19">
        <v>2</v>
      </c>
      <c r="Q118" s="60">
        <f t="shared" si="17"/>
        <v>970</v>
      </c>
      <c r="R118" s="18">
        <f t="shared" si="12"/>
        <v>6</v>
      </c>
      <c r="S118" s="18">
        <f t="shared" si="12"/>
        <v>2910</v>
      </c>
    </row>
    <row r="119" spans="1:19" ht="16.5" customHeight="1" thickTop="1" thickBot="1" x14ac:dyDescent="0.3">
      <c r="A119" s="279"/>
      <c r="B119" s="551"/>
      <c r="C119" s="629"/>
      <c r="D119" s="638"/>
      <c r="E119" s="56" t="s">
        <v>69</v>
      </c>
      <c r="F119" s="32" t="s">
        <v>68</v>
      </c>
      <c r="G119" s="15">
        <v>83</v>
      </c>
      <c r="H119" s="59">
        <f>'TABLA GENERAL'!D137</f>
        <v>3800</v>
      </c>
      <c r="I119" s="115">
        <f t="shared" si="13"/>
        <v>315400</v>
      </c>
      <c r="J119" s="20">
        <v>0</v>
      </c>
      <c r="K119" s="60">
        <f t="shared" si="14"/>
        <v>0</v>
      </c>
      <c r="L119" s="20">
        <v>14</v>
      </c>
      <c r="M119" s="60">
        <f t="shared" si="15"/>
        <v>53200</v>
      </c>
      <c r="N119" s="19">
        <v>28</v>
      </c>
      <c r="O119" s="60">
        <f t="shared" si="16"/>
        <v>106400</v>
      </c>
      <c r="P119" s="19">
        <v>14</v>
      </c>
      <c r="Q119" s="60">
        <f t="shared" si="17"/>
        <v>53200</v>
      </c>
      <c r="R119" s="18">
        <f t="shared" si="12"/>
        <v>56</v>
      </c>
      <c r="S119" s="18">
        <f t="shared" si="12"/>
        <v>212800</v>
      </c>
    </row>
    <row r="120" spans="1:19" ht="16.5" customHeight="1" thickTop="1" thickBot="1" x14ac:dyDescent="0.3">
      <c r="A120" s="279"/>
      <c r="B120" s="551"/>
      <c r="C120" s="629"/>
      <c r="D120" s="638"/>
      <c r="E120" s="56" t="s">
        <v>449</v>
      </c>
      <c r="F120" s="32" t="s">
        <v>450</v>
      </c>
      <c r="G120" s="15">
        <v>7</v>
      </c>
      <c r="H120" s="59">
        <f>'TABLA GENERAL'!D138</f>
        <v>1246</v>
      </c>
      <c r="I120" s="115">
        <f t="shared" si="13"/>
        <v>8722</v>
      </c>
      <c r="J120" s="20">
        <v>0</v>
      </c>
      <c r="K120" s="60">
        <f t="shared" si="14"/>
        <v>0</v>
      </c>
      <c r="L120" s="20">
        <v>1</v>
      </c>
      <c r="M120" s="60">
        <f t="shared" si="15"/>
        <v>1246</v>
      </c>
      <c r="N120" s="19">
        <v>1</v>
      </c>
      <c r="O120" s="60">
        <f t="shared" si="16"/>
        <v>1246</v>
      </c>
      <c r="P120" s="19">
        <v>3</v>
      </c>
      <c r="Q120" s="60">
        <f t="shared" si="17"/>
        <v>3738</v>
      </c>
      <c r="R120" s="18">
        <f t="shared" si="12"/>
        <v>5</v>
      </c>
      <c r="S120" s="18">
        <f t="shared" si="12"/>
        <v>6230</v>
      </c>
    </row>
    <row r="121" spans="1:19" ht="16.5" customHeight="1" thickTop="1" thickBot="1" x14ac:dyDescent="0.3">
      <c r="A121" s="279"/>
      <c r="B121" s="551"/>
      <c r="C121" s="629"/>
      <c r="D121" s="638"/>
      <c r="E121" s="56" t="s">
        <v>451</v>
      </c>
      <c r="F121" s="32" t="s">
        <v>452</v>
      </c>
      <c r="G121" s="15">
        <v>126</v>
      </c>
      <c r="H121" s="59">
        <f>'TABLA GENERAL'!D139</f>
        <v>65</v>
      </c>
      <c r="I121" s="115">
        <f t="shared" si="13"/>
        <v>8190</v>
      </c>
      <c r="J121" s="20">
        <v>0</v>
      </c>
      <c r="K121" s="60">
        <f t="shared" si="14"/>
        <v>0</v>
      </c>
      <c r="L121" s="20">
        <v>0</v>
      </c>
      <c r="M121" s="60">
        <f t="shared" si="15"/>
        <v>0</v>
      </c>
      <c r="N121" s="19">
        <v>0</v>
      </c>
      <c r="O121" s="60">
        <f t="shared" si="16"/>
        <v>0</v>
      </c>
      <c r="P121" s="19">
        <v>28</v>
      </c>
      <c r="Q121" s="60">
        <f t="shared" si="17"/>
        <v>1820</v>
      </c>
      <c r="R121" s="18">
        <f t="shared" si="12"/>
        <v>28</v>
      </c>
      <c r="S121" s="18">
        <f t="shared" si="12"/>
        <v>1820</v>
      </c>
    </row>
    <row r="122" spans="1:19" ht="16.5" customHeight="1" thickTop="1" thickBot="1" x14ac:dyDescent="0.3">
      <c r="A122" s="279"/>
      <c r="B122" s="551"/>
      <c r="C122" s="629"/>
      <c r="D122" s="550" t="s">
        <v>453</v>
      </c>
      <c r="E122" s="56" t="s">
        <v>454</v>
      </c>
      <c r="F122" s="32" t="s">
        <v>455</v>
      </c>
      <c r="G122" s="15">
        <v>9</v>
      </c>
      <c r="H122" s="59">
        <f>'TABLA GENERAL'!D140</f>
        <v>46</v>
      </c>
      <c r="I122" s="115">
        <f t="shared" si="13"/>
        <v>414</v>
      </c>
      <c r="J122" s="20">
        <v>0</v>
      </c>
      <c r="K122" s="60">
        <f t="shared" si="14"/>
        <v>0</v>
      </c>
      <c r="L122" s="20">
        <v>0</v>
      </c>
      <c r="M122" s="60">
        <f t="shared" si="15"/>
        <v>0</v>
      </c>
      <c r="N122" s="19">
        <v>0</v>
      </c>
      <c r="O122" s="60">
        <f t="shared" si="16"/>
        <v>0</v>
      </c>
      <c r="P122" s="19">
        <v>4</v>
      </c>
      <c r="Q122" s="60">
        <f t="shared" si="17"/>
        <v>184</v>
      </c>
      <c r="R122" s="18">
        <f t="shared" si="12"/>
        <v>4</v>
      </c>
      <c r="S122" s="18">
        <f t="shared" si="12"/>
        <v>184</v>
      </c>
    </row>
    <row r="123" spans="1:19" ht="16.5" customHeight="1" thickTop="1" thickBot="1" x14ac:dyDescent="0.3">
      <c r="A123" s="279"/>
      <c r="B123" s="551"/>
      <c r="C123" s="629"/>
      <c r="D123" s="551"/>
      <c r="E123" s="56" t="s">
        <v>456</v>
      </c>
      <c r="F123" s="32" t="s">
        <v>457</v>
      </c>
      <c r="G123" s="15">
        <v>68</v>
      </c>
      <c r="H123" s="59">
        <f>'TABLA GENERAL'!D141</f>
        <v>8469.75</v>
      </c>
      <c r="I123" s="115">
        <f t="shared" si="13"/>
        <v>575943</v>
      </c>
      <c r="J123" s="20">
        <v>0</v>
      </c>
      <c r="K123" s="60">
        <f t="shared" si="14"/>
        <v>0</v>
      </c>
      <c r="L123" s="20">
        <v>0</v>
      </c>
      <c r="M123" s="60">
        <f t="shared" si="15"/>
        <v>0</v>
      </c>
      <c r="N123" s="19">
        <v>23</v>
      </c>
      <c r="O123" s="60">
        <f t="shared" si="16"/>
        <v>194804.25</v>
      </c>
      <c r="P123" s="19">
        <v>14</v>
      </c>
      <c r="Q123" s="60">
        <f t="shared" si="17"/>
        <v>118576.5</v>
      </c>
      <c r="R123" s="18">
        <f t="shared" si="12"/>
        <v>37</v>
      </c>
      <c r="S123" s="18">
        <f t="shared" si="12"/>
        <v>313380.75</v>
      </c>
    </row>
    <row r="124" spans="1:19" ht="16.5" customHeight="1" thickTop="1" thickBot="1" x14ac:dyDescent="0.3">
      <c r="A124" s="279"/>
      <c r="B124" s="551"/>
      <c r="C124" s="629"/>
      <c r="D124" s="551"/>
      <c r="E124" s="56" t="s">
        <v>458</v>
      </c>
      <c r="F124" s="32" t="s">
        <v>459</v>
      </c>
      <c r="G124" s="15">
        <v>5</v>
      </c>
      <c r="H124" s="59">
        <f>'TABLA GENERAL'!D142</f>
        <v>2770</v>
      </c>
      <c r="I124" s="115">
        <f t="shared" si="13"/>
        <v>13850</v>
      </c>
      <c r="J124" s="20">
        <v>0</v>
      </c>
      <c r="K124" s="60">
        <f t="shared" si="14"/>
        <v>0</v>
      </c>
      <c r="L124" s="20">
        <v>0</v>
      </c>
      <c r="M124" s="60">
        <f t="shared" si="15"/>
        <v>0</v>
      </c>
      <c r="N124" s="19">
        <v>2</v>
      </c>
      <c r="O124" s="60">
        <f t="shared" si="16"/>
        <v>5540</v>
      </c>
      <c r="P124" s="19">
        <v>3</v>
      </c>
      <c r="Q124" s="60">
        <f t="shared" si="17"/>
        <v>8310</v>
      </c>
      <c r="R124" s="18">
        <f t="shared" si="12"/>
        <v>5</v>
      </c>
      <c r="S124" s="18">
        <f t="shared" si="12"/>
        <v>13850</v>
      </c>
    </row>
    <row r="125" spans="1:19" ht="16.5" customHeight="1" thickTop="1" thickBot="1" x14ac:dyDescent="0.3">
      <c r="A125" s="279"/>
      <c r="B125" s="551"/>
      <c r="C125" s="629"/>
      <c r="D125" s="551"/>
      <c r="E125" s="56" t="s">
        <v>460</v>
      </c>
      <c r="F125" s="32" t="s">
        <v>461</v>
      </c>
      <c r="G125" s="15">
        <v>18</v>
      </c>
      <c r="H125" s="59">
        <f>'TABLA GENERAL'!D143</f>
        <v>295</v>
      </c>
      <c r="I125" s="115">
        <f t="shared" si="13"/>
        <v>5310</v>
      </c>
      <c r="J125" s="20">
        <v>0</v>
      </c>
      <c r="K125" s="60">
        <f t="shared" si="14"/>
        <v>0</v>
      </c>
      <c r="L125" s="20">
        <v>0</v>
      </c>
      <c r="M125" s="60">
        <f t="shared" si="15"/>
        <v>0</v>
      </c>
      <c r="N125" s="19">
        <v>0</v>
      </c>
      <c r="O125" s="60">
        <f t="shared" si="16"/>
        <v>0</v>
      </c>
      <c r="P125" s="19">
        <v>8</v>
      </c>
      <c r="Q125" s="60">
        <f t="shared" si="17"/>
        <v>2360</v>
      </c>
      <c r="R125" s="18">
        <f t="shared" si="12"/>
        <v>8</v>
      </c>
      <c r="S125" s="18">
        <f t="shared" si="12"/>
        <v>2360</v>
      </c>
    </row>
    <row r="126" spans="1:19" ht="16.5" customHeight="1" thickTop="1" thickBot="1" x14ac:dyDescent="0.3">
      <c r="A126" s="279"/>
      <c r="B126" s="551"/>
      <c r="C126" s="629"/>
      <c r="D126" s="551"/>
      <c r="E126" s="56" t="s">
        <v>462</v>
      </c>
      <c r="F126" s="32" t="s">
        <v>463</v>
      </c>
      <c r="G126" s="15">
        <v>10</v>
      </c>
      <c r="H126" s="59">
        <f>'TABLA GENERAL'!D144</f>
        <v>3800</v>
      </c>
      <c r="I126" s="115">
        <f t="shared" si="13"/>
        <v>38000</v>
      </c>
      <c r="J126" s="20">
        <v>0</v>
      </c>
      <c r="K126" s="60">
        <f t="shared" si="14"/>
        <v>0</v>
      </c>
      <c r="L126" s="20">
        <v>0</v>
      </c>
      <c r="M126" s="60">
        <f t="shared" si="15"/>
        <v>0</v>
      </c>
      <c r="N126" s="19">
        <v>2</v>
      </c>
      <c r="O126" s="60">
        <f t="shared" si="16"/>
        <v>7600</v>
      </c>
      <c r="P126" s="19">
        <v>4</v>
      </c>
      <c r="Q126" s="60">
        <f t="shared" si="17"/>
        <v>15200</v>
      </c>
      <c r="R126" s="18">
        <f t="shared" si="12"/>
        <v>6</v>
      </c>
      <c r="S126" s="18">
        <f t="shared" si="12"/>
        <v>22800</v>
      </c>
    </row>
    <row r="127" spans="1:19" ht="16.5" customHeight="1" thickTop="1" thickBot="1" x14ac:dyDescent="0.3">
      <c r="A127" s="279"/>
      <c r="B127" s="551"/>
      <c r="C127" s="629"/>
      <c r="D127" s="551"/>
      <c r="E127" s="56" t="s">
        <v>464</v>
      </c>
      <c r="F127" s="32" t="s">
        <v>465</v>
      </c>
      <c r="G127" s="15">
        <v>13</v>
      </c>
      <c r="H127" s="59">
        <f>'TABLA GENERAL'!D145</f>
        <v>1100</v>
      </c>
      <c r="I127" s="115">
        <f t="shared" si="13"/>
        <v>14300</v>
      </c>
      <c r="J127" s="20">
        <v>0</v>
      </c>
      <c r="K127" s="60">
        <f t="shared" si="14"/>
        <v>0</v>
      </c>
      <c r="L127" s="20">
        <v>0</v>
      </c>
      <c r="M127" s="60">
        <f t="shared" si="15"/>
        <v>0</v>
      </c>
      <c r="N127" s="19">
        <v>0</v>
      </c>
      <c r="O127" s="60">
        <f t="shared" si="16"/>
        <v>0</v>
      </c>
      <c r="P127" s="19">
        <v>6</v>
      </c>
      <c r="Q127" s="60">
        <f t="shared" si="17"/>
        <v>6600</v>
      </c>
      <c r="R127" s="18">
        <f t="shared" si="12"/>
        <v>6</v>
      </c>
      <c r="S127" s="18">
        <f t="shared" si="12"/>
        <v>6600</v>
      </c>
    </row>
    <row r="128" spans="1:19" ht="16.5" customHeight="1" thickTop="1" thickBot="1" x14ac:dyDescent="0.3">
      <c r="A128" s="279"/>
      <c r="B128" s="551"/>
      <c r="C128" s="629"/>
      <c r="D128" s="551"/>
      <c r="E128" s="56" t="s">
        <v>466</v>
      </c>
      <c r="F128" s="32" t="s">
        <v>467</v>
      </c>
      <c r="G128" s="15">
        <v>13</v>
      </c>
      <c r="H128" s="59">
        <f>'TABLA GENERAL'!D146</f>
        <v>1600</v>
      </c>
      <c r="I128" s="115">
        <f t="shared" si="13"/>
        <v>20800</v>
      </c>
      <c r="J128" s="20">
        <v>0</v>
      </c>
      <c r="K128" s="60">
        <f t="shared" si="14"/>
        <v>0</v>
      </c>
      <c r="L128" s="20">
        <v>0</v>
      </c>
      <c r="M128" s="60">
        <f t="shared" si="15"/>
        <v>0</v>
      </c>
      <c r="N128" s="19">
        <v>0</v>
      </c>
      <c r="O128" s="60">
        <f t="shared" si="16"/>
        <v>0</v>
      </c>
      <c r="P128" s="19">
        <v>6</v>
      </c>
      <c r="Q128" s="60">
        <f t="shared" si="17"/>
        <v>9600</v>
      </c>
      <c r="R128" s="18">
        <f t="shared" si="12"/>
        <v>6</v>
      </c>
      <c r="S128" s="18">
        <f t="shared" si="12"/>
        <v>9600</v>
      </c>
    </row>
    <row r="129" spans="1:20" ht="24" customHeight="1" thickTop="1" thickBot="1" x14ac:dyDescent="0.3">
      <c r="A129" s="279"/>
      <c r="B129" s="551"/>
      <c r="C129" s="629"/>
      <c r="D129" s="551"/>
      <c r="E129" s="56" t="s">
        <v>468</v>
      </c>
      <c r="F129" s="32" t="s">
        <v>469</v>
      </c>
      <c r="G129" s="15">
        <v>50</v>
      </c>
      <c r="H129" s="59">
        <f>'TABLA GENERAL'!D147</f>
        <v>3</v>
      </c>
      <c r="I129" s="115">
        <f t="shared" si="13"/>
        <v>150</v>
      </c>
      <c r="J129" s="20">
        <v>0</v>
      </c>
      <c r="K129" s="60">
        <f t="shared" si="14"/>
        <v>0</v>
      </c>
      <c r="L129" s="20">
        <v>0</v>
      </c>
      <c r="M129" s="60">
        <f t="shared" si="15"/>
        <v>0</v>
      </c>
      <c r="N129" s="19">
        <v>0</v>
      </c>
      <c r="O129" s="60">
        <f t="shared" si="16"/>
        <v>0</v>
      </c>
      <c r="P129" s="19">
        <v>42</v>
      </c>
      <c r="Q129" s="60">
        <f t="shared" si="17"/>
        <v>126</v>
      </c>
      <c r="R129" s="18">
        <f t="shared" si="12"/>
        <v>42</v>
      </c>
      <c r="S129" s="18">
        <f t="shared" si="12"/>
        <v>126</v>
      </c>
    </row>
    <row r="130" spans="1:20" ht="16.5" customHeight="1" thickTop="1" thickBot="1" x14ac:dyDescent="0.3">
      <c r="A130" s="279"/>
      <c r="B130" s="552"/>
      <c r="C130" s="629"/>
      <c r="D130" s="551"/>
      <c r="E130" s="56" t="s">
        <v>470</v>
      </c>
      <c r="F130" s="32" t="s">
        <v>471</v>
      </c>
      <c r="G130" s="15">
        <v>4</v>
      </c>
      <c r="H130" s="59">
        <f>'TABLA GENERAL'!D148</f>
        <v>2450</v>
      </c>
      <c r="I130" s="115">
        <f t="shared" si="13"/>
        <v>9800</v>
      </c>
      <c r="J130" s="20">
        <v>0</v>
      </c>
      <c r="K130" s="60">
        <f t="shared" si="14"/>
        <v>0</v>
      </c>
      <c r="L130" s="20">
        <v>0</v>
      </c>
      <c r="M130" s="60">
        <f t="shared" si="15"/>
        <v>0</v>
      </c>
      <c r="N130" s="19">
        <v>0</v>
      </c>
      <c r="O130" s="60">
        <f t="shared" si="16"/>
        <v>0</v>
      </c>
      <c r="P130" s="19">
        <v>2</v>
      </c>
      <c r="Q130" s="60">
        <f t="shared" si="17"/>
        <v>4900</v>
      </c>
      <c r="R130" s="18">
        <f t="shared" si="12"/>
        <v>2</v>
      </c>
      <c r="S130" s="18">
        <f t="shared" si="12"/>
        <v>4900</v>
      </c>
    </row>
    <row r="131" spans="1:20" ht="16.5" customHeight="1" thickTop="1" thickBot="1" x14ac:dyDescent="0.3">
      <c r="A131" s="280"/>
      <c r="B131" s="280"/>
      <c r="C131" s="635"/>
      <c r="D131" s="552"/>
      <c r="E131" s="56" t="s">
        <v>65</v>
      </c>
      <c r="F131" s="32" t="s">
        <v>64</v>
      </c>
      <c r="G131" s="15">
        <v>4</v>
      </c>
      <c r="H131" s="59">
        <f>'TABLA GENERAL'!D149</f>
        <v>3250</v>
      </c>
      <c r="I131" s="115">
        <f>G131*H131</f>
        <v>13000</v>
      </c>
      <c r="J131" s="20">
        <v>0</v>
      </c>
      <c r="K131" s="60">
        <f t="shared" si="14"/>
        <v>0</v>
      </c>
      <c r="L131" s="20">
        <v>1</v>
      </c>
      <c r="M131" s="60">
        <f t="shared" si="15"/>
        <v>3250</v>
      </c>
      <c r="N131" s="19">
        <v>0</v>
      </c>
      <c r="O131" s="60">
        <f t="shared" si="16"/>
        <v>0</v>
      </c>
      <c r="P131" s="19">
        <v>1</v>
      </c>
      <c r="Q131" s="60">
        <f t="shared" si="17"/>
        <v>3250</v>
      </c>
      <c r="R131" s="18">
        <f t="shared" si="12"/>
        <v>2</v>
      </c>
      <c r="S131" s="18">
        <f t="shared" si="12"/>
        <v>6500</v>
      </c>
    </row>
    <row r="132" spans="1:20" ht="17.25" thickBot="1" x14ac:dyDescent="0.3">
      <c r="A132" s="112"/>
      <c r="B132" s="112"/>
      <c r="C132" s="112"/>
      <c r="D132" s="124"/>
      <c r="E132" s="112"/>
      <c r="F132" s="112" t="s">
        <v>472</v>
      </c>
      <c r="G132" s="112"/>
      <c r="H132" s="112"/>
      <c r="I132" s="118">
        <f>SUM(I44:I131)</f>
        <v>8268052.1161538456</v>
      </c>
      <c r="J132" s="112"/>
      <c r="K132" s="119">
        <f>SUM(K44:K131)</f>
        <v>219404</v>
      </c>
      <c r="L132" s="112"/>
      <c r="M132" s="119">
        <f>SUM(M44:M131)</f>
        <v>265661</v>
      </c>
      <c r="N132" s="112"/>
      <c r="O132" s="119">
        <f>SUM(O44:O131)</f>
        <v>1323931.25</v>
      </c>
      <c r="P132" s="112"/>
      <c r="Q132" s="119">
        <f>SUM(Q44:Q131)</f>
        <v>1526227.2015384615</v>
      </c>
      <c r="R132" s="112">
        <f t="shared" si="12"/>
        <v>0</v>
      </c>
      <c r="S132" s="119">
        <f>SUM(S44:S131)</f>
        <v>3335223.4515384613</v>
      </c>
      <c r="T132" s="14">
        <f>Q132+O132+M132+K132</f>
        <v>3335223.4515384613</v>
      </c>
    </row>
    <row r="134" spans="1:20" ht="15.75" thickBot="1" x14ac:dyDescent="0.3"/>
    <row r="135" spans="1:20" ht="47.25" customHeight="1" thickBot="1" x14ac:dyDescent="0.3">
      <c r="B135" s="195"/>
      <c r="C135" s="195"/>
      <c r="D135" s="195"/>
      <c r="E135" s="195"/>
      <c r="F135" s="617" t="s">
        <v>473</v>
      </c>
      <c r="G135" s="618"/>
      <c r="H135" s="618"/>
      <c r="I135" s="618"/>
      <c r="J135" s="618"/>
      <c r="K135" s="618"/>
      <c r="L135" s="618"/>
      <c r="M135" s="618"/>
      <c r="N135" s="618"/>
      <c r="O135" s="618"/>
      <c r="P135" s="618"/>
      <c r="Q135" s="618"/>
      <c r="R135" s="584" t="s">
        <v>227</v>
      </c>
      <c r="S135" s="585"/>
    </row>
    <row r="136" spans="1:20" ht="50.25" thickBot="1" x14ac:dyDescent="0.3">
      <c r="A136" s="89" t="s">
        <v>228</v>
      </c>
      <c r="B136" s="89"/>
      <c r="C136" s="89"/>
      <c r="D136" s="89"/>
      <c r="E136" s="89"/>
      <c r="F136" s="89" t="s">
        <v>85</v>
      </c>
      <c r="G136" s="89" t="s">
        <v>229</v>
      </c>
      <c r="H136" s="89" t="s">
        <v>123</v>
      </c>
      <c r="I136" s="113" t="s">
        <v>230</v>
      </c>
      <c r="J136" s="89">
        <v>2021</v>
      </c>
      <c r="K136" s="89" t="s">
        <v>79</v>
      </c>
      <c r="L136" s="89">
        <v>2022</v>
      </c>
      <c r="M136" s="89" t="s">
        <v>79</v>
      </c>
      <c r="N136" s="89">
        <v>2023</v>
      </c>
      <c r="O136" s="89" t="s">
        <v>79</v>
      </c>
      <c r="P136" s="89">
        <v>2025</v>
      </c>
      <c r="Q136" s="89" t="s">
        <v>79</v>
      </c>
      <c r="R136" s="89" t="s">
        <v>124</v>
      </c>
      <c r="S136" s="89" t="s">
        <v>77</v>
      </c>
    </row>
    <row r="137" spans="1:20" ht="18" customHeight="1" thickTop="1" thickBot="1" x14ac:dyDescent="0.3">
      <c r="A137" s="558" t="s">
        <v>473</v>
      </c>
      <c r="B137" s="550" t="s">
        <v>474</v>
      </c>
      <c r="C137" s="627" t="s">
        <v>475</v>
      </c>
      <c r="D137" s="628"/>
      <c r="E137" s="56" t="s">
        <v>476</v>
      </c>
      <c r="F137" s="48" t="s">
        <v>477</v>
      </c>
      <c r="G137" s="47">
        <v>118</v>
      </c>
      <c r="H137" s="72">
        <f>'TABLA GENERAL'!D159</f>
        <v>260</v>
      </c>
      <c r="I137" s="114">
        <f>H137*G137</f>
        <v>30680</v>
      </c>
      <c r="J137" s="20">
        <v>0</v>
      </c>
      <c r="K137" s="60">
        <f>J137*H137</f>
        <v>0</v>
      </c>
      <c r="L137" s="20">
        <v>14</v>
      </c>
      <c r="M137" s="60">
        <f>L137*H137</f>
        <v>3640</v>
      </c>
      <c r="N137" s="20">
        <v>14</v>
      </c>
      <c r="O137" s="60">
        <f>N137*H137</f>
        <v>3640</v>
      </c>
      <c r="P137" s="20">
        <v>14</v>
      </c>
      <c r="Q137" s="60">
        <f>P137*H137</f>
        <v>3640</v>
      </c>
      <c r="R137" s="18">
        <f>P137+N137+L137+J137</f>
        <v>42</v>
      </c>
      <c r="S137" s="18">
        <f t="shared" ref="R137:S152" si="19">Q137+O137+M137+K137</f>
        <v>10920</v>
      </c>
      <c r="T137">
        <v>14</v>
      </c>
    </row>
    <row r="138" spans="1:20" ht="18" customHeight="1" thickTop="1" thickBot="1" x14ac:dyDescent="0.3">
      <c r="A138" s="559" t="s">
        <v>473</v>
      </c>
      <c r="B138" s="551"/>
      <c r="C138" s="629"/>
      <c r="D138" s="630"/>
      <c r="E138" s="56" t="s">
        <v>478</v>
      </c>
      <c r="F138" s="32" t="s">
        <v>479</v>
      </c>
      <c r="G138" s="15">
        <v>92</v>
      </c>
      <c r="H138" s="72">
        <f>'TABLA GENERAL'!D160</f>
        <v>84</v>
      </c>
      <c r="I138" s="114">
        <f t="shared" ref="I138:I166" si="20">H138*G138</f>
        <v>7728</v>
      </c>
      <c r="J138" s="20">
        <v>0</v>
      </c>
      <c r="K138" s="60">
        <f t="shared" ref="K138:K166" si="21">J138*H138</f>
        <v>0</v>
      </c>
      <c r="L138" s="15">
        <v>14</v>
      </c>
      <c r="M138" s="60">
        <f>L138*H138</f>
        <v>1176</v>
      </c>
      <c r="N138" s="15">
        <v>14</v>
      </c>
      <c r="O138" s="60">
        <f t="shared" ref="O138:O166" si="22">N138*H138</f>
        <v>1176</v>
      </c>
      <c r="P138" s="15">
        <v>14</v>
      </c>
      <c r="Q138" s="60">
        <f t="shared" ref="Q138:Q166" si="23">P138*H138</f>
        <v>1176</v>
      </c>
      <c r="R138" s="18">
        <f t="shared" si="19"/>
        <v>42</v>
      </c>
      <c r="S138" s="18">
        <f t="shared" si="19"/>
        <v>3528</v>
      </c>
      <c r="T138">
        <v>14</v>
      </c>
    </row>
    <row r="139" spans="1:20" ht="18" customHeight="1" thickTop="1" thickBot="1" x14ac:dyDescent="0.3">
      <c r="A139" s="559" t="s">
        <v>473</v>
      </c>
      <c r="B139" s="551"/>
      <c r="C139" s="629"/>
      <c r="D139" s="630"/>
      <c r="E139" s="56" t="s">
        <v>480</v>
      </c>
      <c r="F139" s="32" t="s">
        <v>481</v>
      </c>
      <c r="G139" s="15">
        <v>111</v>
      </c>
      <c r="H139" s="72">
        <f>'TABLA GENERAL'!D161</f>
        <v>29</v>
      </c>
      <c r="I139" s="114">
        <f t="shared" si="20"/>
        <v>3219</v>
      </c>
      <c r="J139" s="20">
        <v>0</v>
      </c>
      <c r="K139" s="60">
        <f t="shared" si="21"/>
        <v>0</v>
      </c>
      <c r="L139" s="15">
        <v>14</v>
      </c>
      <c r="M139" s="60">
        <f t="shared" ref="M139:M166" si="24">L139*H139</f>
        <v>406</v>
      </c>
      <c r="N139" s="15">
        <v>14</v>
      </c>
      <c r="O139" s="60">
        <f t="shared" si="22"/>
        <v>406</v>
      </c>
      <c r="P139" s="15">
        <v>14</v>
      </c>
      <c r="Q139" s="60">
        <f t="shared" si="23"/>
        <v>406</v>
      </c>
      <c r="R139" s="18">
        <f t="shared" si="19"/>
        <v>42</v>
      </c>
      <c r="S139" s="18">
        <f t="shared" si="19"/>
        <v>1218</v>
      </c>
      <c r="T139">
        <v>14</v>
      </c>
    </row>
    <row r="140" spans="1:20" ht="18" customHeight="1" thickTop="1" thickBot="1" x14ac:dyDescent="0.3">
      <c r="A140" s="559" t="s">
        <v>473</v>
      </c>
      <c r="B140" s="551"/>
      <c r="C140" s="629"/>
      <c r="D140" s="630"/>
      <c r="E140" s="56" t="s">
        <v>482</v>
      </c>
      <c r="F140" s="32" t="s">
        <v>483</v>
      </c>
      <c r="G140" s="15">
        <v>120</v>
      </c>
      <c r="H140" s="72">
        <f>'TABLA GENERAL'!D162</f>
        <v>32</v>
      </c>
      <c r="I140" s="114">
        <f t="shared" si="20"/>
        <v>3840</v>
      </c>
      <c r="J140" s="20">
        <v>0</v>
      </c>
      <c r="K140" s="60">
        <f t="shared" si="21"/>
        <v>0</v>
      </c>
      <c r="L140" s="15">
        <v>0</v>
      </c>
      <c r="M140" s="60">
        <f t="shared" si="24"/>
        <v>0</v>
      </c>
      <c r="N140" s="15">
        <v>0</v>
      </c>
      <c r="O140" s="60">
        <f t="shared" si="22"/>
        <v>0</v>
      </c>
      <c r="P140" s="15">
        <v>14</v>
      </c>
      <c r="Q140" s="60">
        <f t="shared" si="23"/>
        <v>448</v>
      </c>
      <c r="R140" s="18">
        <f t="shared" si="19"/>
        <v>14</v>
      </c>
      <c r="S140" s="18">
        <f t="shared" si="19"/>
        <v>448</v>
      </c>
      <c r="T140">
        <v>14</v>
      </c>
    </row>
    <row r="141" spans="1:20" ht="18" customHeight="1" thickTop="1" thickBot="1" x14ac:dyDescent="0.3">
      <c r="A141" s="559" t="s">
        <v>473</v>
      </c>
      <c r="B141" s="551"/>
      <c r="C141" s="629"/>
      <c r="D141" s="630"/>
      <c r="E141" s="56" t="s">
        <v>484</v>
      </c>
      <c r="F141" s="32" t="s">
        <v>485</v>
      </c>
      <c r="G141" s="15">
        <v>115</v>
      </c>
      <c r="H141" s="72">
        <f>'TABLA GENERAL'!D163</f>
        <v>78</v>
      </c>
      <c r="I141" s="114">
        <f t="shared" si="20"/>
        <v>8970</v>
      </c>
      <c r="J141" s="20">
        <v>0</v>
      </c>
      <c r="K141" s="60">
        <f t="shared" si="21"/>
        <v>0</v>
      </c>
      <c r="L141" s="15">
        <v>0</v>
      </c>
      <c r="M141" s="60">
        <f t="shared" si="24"/>
        <v>0</v>
      </c>
      <c r="N141" s="15">
        <v>0</v>
      </c>
      <c r="O141" s="60">
        <f t="shared" si="22"/>
        <v>0</v>
      </c>
      <c r="P141" s="15">
        <v>14</v>
      </c>
      <c r="Q141" s="60">
        <f t="shared" si="23"/>
        <v>1092</v>
      </c>
      <c r="R141" s="18">
        <f t="shared" si="19"/>
        <v>14</v>
      </c>
      <c r="S141" s="18">
        <f t="shared" si="19"/>
        <v>1092</v>
      </c>
      <c r="T141">
        <v>14</v>
      </c>
    </row>
    <row r="142" spans="1:20" ht="16.5" thickTop="1" thickBot="1" x14ac:dyDescent="0.3">
      <c r="A142" s="559" t="s">
        <v>473</v>
      </c>
      <c r="B142" s="551"/>
      <c r="C142" s="629"/>
      <c r="D142" s="630"/>
      <c r="E142" s="56" t="s">
        <v>486</v>
      </c>
      <c r="F142" s="32" t="s">
        <v>487</v>
      </c>
      <c r="G142" s="15">
        <v>120</v>
      </c>
      <c r="H142" s="72">
        <f>'TABLA GENERAL'!D164</f>
        <v>52</v>
      </c>
      <c r="I142" s="114">
        <f t="shared" si="20"/>
        <v>6240</v>
      </c>
      <c r="J142" s="20">
        <v>0</v>
      </c>
      <c r="K142" s="60">
        <f t="shared" si="21"/>
        <v>0</v>
      </c>
      <c r="L142" s="15">
        <v>0</v>
      </c>
      <c r="M142" s="60">
        <f t="shared" si="24"/>
        <v>0</v>
      </c>
      <c r="N142" s="15">
        <v>0</v>
      </c>
      <c r="O142" s="60">
        <f t="shared" si="22"/>
        <v>0</v>
      </c>
      <c r="P142" s="15">
        <v>14</v>
      </c>
      <c r="Q142" s="60">
        <f t="shared" si="23"/>
        <v>728</v>
      </c>
      <c r="R142" s="18">
        <f t="shared" si="19"/>
        <v>14</v>
      </c>
      <c r="S142" s="18">
        <f t="shared" si="19"/>
        <v>728</v>
      </c>
      <c r="T142">
        <v>14</v>
      </c>
    </row>
    <row r="143" spans="1:20" ht="16.5" thickTop="1" thickBot="1" x14ac:dyDescent="0.3">
      <c r="A143" s="559" t="s">
        <v>473</v>
      </c>
      <c r="B143" s="551"/>
      <c r="C143" s="629"/>
      <c r="D143" s="630"/>
      <c r="E143" s="56" t="s">
        <v>488</v>
      </c>
      <c r="F143" s="32" t="s">
        <v>489</v>
      </c>
      <c r="G143" s="15">
        <v>95</v>
      </c>
      <c r="H143" s="72">
        <f>'TABLA GENERAL'!D165</f>
        <v>201</v>
      </c>
      <c r="I143" s="114">
        <f t="shared" si="20"/>
        <v>19095</v>
      </c>
      <c r="J143" s="20">
        <v>0</v>
      </c>
      <c r="K143" s="60">
        <f t="shared" si="21"/>
        <v>0</v>
      </c>
      <c r="L143" s="15">
        <v>0</v>
      </c>
      <c r="M143" s="60">
        <f t="shared" si="24"/>
        <v>0</v>
      </c>
      <c r="N143" s="15">
        <v>0</v>
      </c>
      <c r="O143" s="60">
        <f t="shared" si="22"/>
        <v>0</v>
      </c>
      <c r="P143" s="15">
        <v>14</v>
      </c>
      <c r="Q143" s="60">
        <f t="shared" si="23"/>
        <v>2814</v>
      </c>
      <c r="R143" s="18">
        <f t="shared" si="19"/>
        <v>14</v>
      </c>
      <c r="S143" s="18">
        <f t="shared" si="19"/>
        <v>2814</v>
      </c>
      <c r="T143">
        <v>14</v>
      </c>
    </row>
    <row r="144" spans="1:20" ht="16.5" thickTop="1" thickBot="1" x14ac:dyDescent="0.3">
      <c r="A144" s="559" t="s">
        <v>473</v>
      </c>
      <c r="B144" s="551"/>
      <c r="C144" s="629"/>
      <c r="D144" s="630"/>
      <c r="E144" s="56" t="s">
        <v>490</v>
      </c>
      <c r="F144" s="32" t="s">
        <v>491</v>
      </c>
      <c r="G144" s="15">
        <v>117</v>
      </c>
      <c r="H144" s="72">
        <f>'TABLA GENERAL'!D166</f>
        <v>60</v>
      </c>
      <c r="I144" s="114">
        <f t="shared" si="20"/>
        <v>7020</v>
      </c>
      <c r="J144" s="20">
        <v>0</v>
      </c>
      <c r="K144" s="60">
        <f t="shared" si="21"/>
        <v>0</v>
      </c>
      <c r="L144" s="15">
        <v>0</v>
      </c>
      <c r="M144" s="60">
        <f t="shared" si="24"/>
        <v>0</v>
      </c>
      <c r="N144" s="15">
        <v>0</v>
      </c>
      <c r="O144" s="60">
        <f t="shared" si="22"/>
        <v>0</v>
      </c>
      <c r="P144" s="15">
        <v>14</v>
      </c>
      <c r="Q144" s="60">
        <f t="shared" si="23"/>
        <v>840</v>
      </c>
      <c r="R144" s="18">
        <f t="shared" si="19"/>
        <v>14</v>
      </c>
      <c r="S144" s="18">
        <f t="shared" si="19"/>
        <v>840</v>
      </c>
      <c r="T144">
        <v>14</v>
      </c>
    </row>
    <row r="145" spans="1:21" ht="31.5" thickTop="1" thickBot="1" x14ac:dyDescent="0.3">
      <c r="A145" s="559" t="s">
        <v>473</v>
      </c>
      <c r="B145" s="551"/>
      <c r="C145" s="629"/>
      <c r="D145" s="630"/>
      <c r="E145" s="56" t="s">
        <v>120</v>
      </c>
      <c r="F145" s="32" t="s">
        <v>119</v>
      </c>
      <c r="G145" s="15">
        <v>68</v>
      </c>
      <c r="H145" s="72">
        <f>'TABLA GENERAL'!D167</f>
        <v>3202</v>
      </c>
      <c r="I145" s="114">
        <f t="shared" si="20"/>
        <v>217736</v>
      </c>
      <c r="J145" s="15">
        <v>14</v>
      </c>
      <c r="K145" s="60">
        <f>J145*H145</f>
        <v>44828</v>
      </c>
      <c r="L145" s="15">
        <v>14</v>
      </c>
      <c r="M145" s="60">
        <f t="shared" si="24"/>
        <v>44828</v>
      </c>
      <c r="N145" s="15">
        <v>14</v>
      </c>
      <c r="O145" s="60">
        <f t="shared" si="22"/>
        <v>44828</v>
      </c>
      <c r="P145" s="15">
        <v>14</v>
      </c>
      <c r="Q145" s="60">
        <f t="shared" si="23"/>
        <v>44828</v>
      </c>
      <c r="R145" s="18">
        <f t="shared" si="19"/>
        <v>56</v>
      </c>
      <c r="S145" s="18">
        <f t="shared" si="19"/>
        <v>179312</v>
      </c>
      <c r="T145" s="469" t="s">
        <v>869</v>
      </c>
      <c r="U145" s="469" t="s">
        <v>870</v>
      </c>
    </row>
    <row r="146" spans="1:21" ht="16.5" thickTop="1" thickBot="1" x14ac:dyDescent="0.3">
      <c r="A146" s="559" t="s">
        <v>473</v>
      </c>
      <c r="B146" s="551"/>
      <c r="C146" s="629"/>
      <c r="D146" s="630"/>
      <c r="E146" s="56" t="s">
        <v>117</v>
      </c>
      <c r="F146" s="32" t="s">
        <v>116</v>
      </c>
      <c r="G146" s="15">
        <v>5</v>
      </c>
      <c r="H146" s="72">
        <f>'TABLA GENERAL'!D168</f>
        <v>12096</v>
      </c>
      <c r="I146" s="114">
        <f t="shared" si="20"/>
        <v>60480</v>
      </c>
      <c r="J146" s="15">
        <v>0</v>
      </c>
      <c r="K146" s="60">
        <f t="shared" si="21"/>
        <v>0</v>
      </c>
      <c r="L146" s="15">
        <v>0</v>
      </c>
      <c r="M146" s="60">
        <f t="shared" si="24"/>
        <v>0</v>
      </c>
      <c r="N146" s="15">
        <v>0</v>
      </c>
      <c r="O146" s="60">
        <f t="shared" si="22"/>
        <v>0</v>
      </c>
      <c r="P146" s="15">
        <v>5</v>
      </c>
      <c r="Q146" s="60">
        <f t="shared" si="23"/>
        <v>60480</v>
      </c>
      <c r="R146" s="18">
        <f t="shared" si="19"/>
        <v>5</v>
      </c>
      <c r="S146" s="18">
        <f t="shared" si="19"/>
        <v>60480</v>
      </c>
      <c r="T146">
        <v>5</v>
      </c>
    </row>
    <row r="147" spans="1:21" ht="16.5" thickTop="1" thickBot="1" x14ac:dyDescent="0.3">
      <c r="A147" s="559" t="s">
        <v>473</v>
      </c>
      <c r="B147" s="551"/>
      <c r="C147" s="629"/>
      <c r="D147" s="630"/>
      <c r="E147" s="56" t="s">
        <v>115</v>
      </c>
      <c r="F147" s="32" t="s">
        <v>114</v>
      </c>
      <c r="G147" s="15">
        <v>56</v>
      </c>
      <c r="H147" s="72">
        <f>'TABLA GENERAL'!D169</f>
        <v>3600</v>
      </c>
      <c r="I147" s="114">
        <f t="shared" si="20"/>
        <v>201600</v>
      </c>
      <c r="J147" s="15">
        <v>18</v>
      </c>
      <c r="K147" s="60">
        <f t="shared" si="21"/>
        <v>64800</v>
      </c>
      <c r="L147" s="15">
        <v>6</v>
      </c>
      <c r="M147" s="60">
        <f t="shared" si="24"/>
        <v>21600</v>
      </c>
      <c r="N147" s="15">
        <v>22</v>
      </c>
      <c r="O147" s="60">
        <f t="shared" si="22"/>
        <v>79200</v>
      </c>
      <c r="P147" s="15">
        <v>10</v>
      </c>
      <c r="Q147" s="60">
        <f t="shared" si="23"/>
        <v>36000</v>
      </c>
      <c r="R147" s="18">
        <f t="shared" si="19"/>
        <v>56</v>
      </c>
      <c r="S147" s="18">
        <f t="shared" si="19"/>
        <v>201600</v>
      </c>
    </row>
    <row r="148" spans="1:21" ht="16.5" thickTop="1" thickBot="1" x14ac:dyDescent="0.3">
      <c r="A148" s="559" t="s">
        <v>473</v>
      </c>
      <c r="B148" s="551"/>
      <c r="C148" s="629"/>
      <c r="D148" s="630"/>
      <c r="E148" s="56" t="s">
        <v>492</v>
      </c>
      <c r="F148" s="32" t="s">
        <v>493</v>
      </c>
      <c r="G148" s="15">
        <v>28</v>
      </c>
      <c r="H148" s="72">
        <f>'TABLA GENERAL'!D170</f>
        <v>274</v>
      </c>
      <c r="I148" s="114">
        <f t="shared" si="20"/>
        <v>7672</v>
      </c>
      <c r="J148" s="15">
        <v>0</v>
      </c>
      <c r="K148" s="60">
        <f t="shared" si="21"/>
        <v>0</v>
      </c>
      <c r="L148" s="15">
        <v>0</v>
      </c>
      <c r="M148" s="60">
        <f t="shared" si="24"/>
        <v>0</v>
      </c>
      <c r="N148" s="15">
        <v>0</v>
      </c>
      <c r="O148" s="60">
        <f t="shared" si="22"/>
        <v>0</v>
      </c>
      <c r="P148" s="15">
        <v>0</v>
      </c>
      <c r="Q148" s="60">
        <f t="shared" si="23"/>
        <v>0</v>
      </c>
      <c r="R148" s="18">
        <f t="shared" si="19"/>
        <v>0</v>
      </c>
      <c r="S148" s="18">
        <f t="shared" si="19"/>
        <v>0</v>
      </c>
    </row>
    <row r="149" spans="1:21" ht="16.5" thickTop="1" thickBot="1" x14ac:dyDescent="0.3">
      <c r="A149" s="559" t="s">
        <v>473</v>
      </c>
      <c r="B149" s="551"/>
      <c r="C149" s="629"/>
      <c r="D149" s="630"/>
      <c r="E149" s="56" t="s">
        <v>494</v>
      </c>
      <c r="F149" s="32" t="s">
        <v>495</v>
      </c>
      <c r="G149" s="15">
        <v>49</v>
      </c>
      <c r="H149" s="72">
        <f>'TABLA GENERAL'!D171</f>
        <v>1778</v>
      </c>
      <c r="I149" s="114">
        <f t="shared" si="20"/>
        <v>87122</v>
      </c>
      <c r="J149" s="15">
        <v>0</v>
      </c>
      <c r="K149" s="60">
        <f t="shared" si="21"/>
        <v>0</v>
      </c>
      <c r="L149" s="15">
        <v>0</v>
      </c>
      <c r="M149" s="60">
        <f t="shared" si="24"/>
        <v>0</v>
      </c>
      <c r="N149" s="15">
        <v>0</v>
      </c>
      <c r="O149" s="60">
        <f t="shared" si="22"/>
        <v>0</v>
      </c>
      <c r="P149" s="15">
        <v>12</v>
      </c>
      <c r="Q149" s="60">
        <f t="shared" si="23"/>
        <v>21336</v>
      </c>
      <c r="R149" s="18">
        <f t="shared" si="19"/>
        <v>12</v>
      </c>
      <c r="S149" s="18">
        <f t="shared" si="19"/>
        <v>21336</v>
      </c>
    </row>
    <row r="150" spans="1:21" ht="16.5" thickTop="1" thickBot="1" x14ac:dyDescent="0.3">
      <c r="A150" s="559" t="s">
        <v>473</v>
      </c>
      <c r="B150" s="551"/>
      <c r="C150" s="629"/>
      <c r="D150" s="630"/>
      <c r="E150" s="56" t="s">
        <v>496</v>
      </c>
      <c r="F150" s="32" t="s">
        <v>497</v>
      </c>
      <c r="G150" s="15">
        <v>22</v>
      </c>
      <c r="H150" s="72">
        <f>'TABLA GENERAL'!D172</f>
        <v>154</v>
      </c>
      <c r="I150" s="114">
        <f t="shared" si="20"/>
        <v>3388</v>
      </c>
      <c r="J150" s="15">
        <v>0</v>
      </c>
      <c r="K150" s="60">
        <f t="shared" si="21"/>
        <v>0</v>
      </c>
      <c r="L150" s="15">
        <v>0</v>
      </c>
      <c r="M150" s="60">
        <f t="shared" si="24"/>
        <v>0</v>
      </c>
      <c r="N150" s="15">
        <v>0</v>
      </c>
      <c r="O150" s="60">
        <f t="shared" si="22"/>
        <v>0</v>
      </c>
      <c r="P150" s="15">
        <v>22</v>
      </c>
      <c r="Q150" s="60">
        <f t="shared" si="23"/>
        <v>3388</v>
      </c>
      <c r="R150" s="18">
        <f t="shared" si="19"/>
        <v>22</v>
      </c>
      <c r="S150" s="18">
        <f t="shared" si="19"/>
        <v>3388</v>
      </c>
    </row>
    <row r="151" spans="1:21" ht="16.5" thickTop="1" thickBot="1" x14ac:dyDescent="0.3">
      <c r="A151" s="559" t="s">
        <v>473</v>
      </c>
      <c r="B151" s="551"/>
      <c r="C151" s="629"/>
      <c r="D151" s="630"/>
      <c r="E151" s="56" t="s">
        <v>498</v>
      </c>
      <c r="F151" s="32" t="s">
        <v>499</v>
      </c>
      <c r="G151" s="15">
        <v>2</v>
      </c>
      <c r="H151" s="59">
        <f>'TABLA GENERAL'!D176</f>
        <v>256</v>
      </c>
      <c r="I151" s="114">
        <f t="shared" si="20"/>
        <v>512</v>
      </c>
      <c r="J151" s="15">
        <v>0</v>
      </c>
      <c r="K151" s="60">
        <f t="shared" si="21"/>
        <v>0</v>
      </c>
      <c r="L151" s="15">
        <v>0</v>
      </c>
      <c r="M151" s="60">
        <f t="shared" si="24"/>
        <v>0</v>
      </c>
      <c r="N151" s="15">
        <v>0</v>
      </c>
      <c r="O151" s="60">
        <f t="shared" si="22"/>
        <v>0</v>
      </c>
      <c r="P151" s="15">
        <v>2</v>
      </c>
      <c r="Q151" s="60">
        <f t="shared" si="23"/>
        <v>512</v>
      </c>
      <c r="R151" s="18">
        <f t="shared" si="19"/>
        <v>2</v>
      </c>
      <c r="S151" s="18">
        <f t="shared" si="19"/>
        <v>512</v>
      </c>
      <c r="T151">
        <v>2</v>
      </c>
    </row>
    <row r="152" spans="1:21" ht="16.5" thickTop="1" thickBot="1" x14ac:dyDescent="0.3">
      <c r="A152" s="559" t="s">
        <v>473</v>
      </c>
      <c r="B152" s="551"/>
      <c r="C152" s="629"/>
      <c r="D152" s="630"/>
      <c r="E152" s="56" t="s">
        <v>500</v>
      </c>
      <c r="F152" s="32" t="s">
        <v>501</v>
      </c>
      <c r="G152" s="15">
        <v>2</v>
      </c>
      <c r="H152" s="59">
        <f>'TABLA GENERAL'!D177</f>
        <v>72</v>
      </c>
      <c r="I152" s="114">
        <f t="shared" si="20"/>
        <v>144</v>
      </c>
      <c r="J152" s="15">
        <v>0</v>
      </c>
      <c r="K152" s="60">
        <f t="shared" si="21"/>
        <v>0</v>
      </c>
      <c r="L152" s="15">
        <v>0</v>
      </c>
      <c r="M152" s="60">
        <f t="shared" si="24"/>
        <v>0</v>
      </c>
      <c r="N152" s="15">
        <v>0</v>
      </c>
      <c r="O152" s="60">
        <f t="shared" si="22"/>
        <v>0</v>
      </c>
      <c r="P152" s="15">
        <v>2</v>
      </c>
      <c r="Q152" s="60">
        <f t="shared" si="23"/>
        <v>144</v>
      </c>
      <c r="R152" s="18">
        <f t="shared" si="19"/>
        <v>2</v>
      </c>
      <c r="S152" s="18">
        <f t="shared" si="19"/>
        <v>144</v>
      </c>
      <c r="T152">
        <v>2</v>
      </c>
    </row>
    <row r="153" spans="1:21" ht="16.5" thickTop="1" thickBot="1" x14ac:dyDescent="0.3">
      <c r="A153" s="559"/>
      <c r="B153" s="551"/>
      <c r="C153" s="629"/>
      <c r="D153" s="630"/>
      <c r="E153" s="56" t="s">
        <v>113</v>
      </c>
      <c r="F153" s="57" t="s">
        <v>112</v>
      </c>
      <c r="G153" s="51">
        <v>54</v>
      </c>
      <c r="H153" s="71">
        <f>'TABLA GENERAL'!D190</f>
        <v>450</v>
      </c>
      <c r="I153" s="114">
        <f t="shared" si="20"/>
        <v>24300</v>
      </c>
      <c r="J153" s="15">
        <v>0</v>
      </c>
      <c r="K153" s="60">
        <f t="shared" si="21"/>
        <v>0</v>
      </c>
      <c r="L153" s="51">
        <v>0</v>
      </c>
      <c r="M153" s="60">
        <f t="shared" si="24"/>
        <v>0</v>
      </c>
      <c r="N153" s="15">
        <v>0</v>
      </c>
      <c r="O153" s="60">
        <f t="shared" si="22"/>
        <v>0</v>
      </c>
      <c r="P153" s="51">
        <v>14</v>
      </c>
      <c r="Q153" s="60">
        <f t="shared" si="23"/>
        <v>6300</v>
      </c>
      <c r="R153" s="18">
        <f t="shared" ref="R153:S167" si="25">P153+N153+L153+J153</f>
        <v>14</v>
      </c>
      <c r="S153" s="18">
        <f t="shared" si="25"/>
        <v>6300</v>
      </c>
    </row>
    <row r="154" spans="1:21" ht="16.5" thickTop="1" thickBot="1" x14ac:dyDescent="0.3">
      <c r="A154" s="559" t="s">
        <v>473</v>
      </c>
      <c r="B154" s="551"/>
      <c r="C154" s="629"/>
      <c r="D154" s="630"/>
      <c r="E154" s="56" t="s">
        <v>109</v>
      </c>
      <c r="F154" s="32" t="s">
        <v>108</v>
      </c>
      <c r="G154" s="15">
        <v>36</v>
      </c>
      <c r="H154" s="59">
        <f>'TABLA GENERAL'!D178</f>
        <v>3305</v>
      </c>
      <c r="I154" s="114">
        <f t="shared" si="20"/>
        <v>118980</v>
      </c>
      <c r="J154" s="15">
        <v>14</v>
      </c>
      <c r="K154" s="60">
        <f t="shared" si="21"/>
        <v>46270</v>
      </c>
      <c r="L154" s="15">
        <v>0</v>
      </c>
      <c r="M154" s="60">
        <f t="shared" si="24"/>
        <v>0</v>
      </c>
      <c r="N154" s="15">
        <v>12</v>
      </c>
      <c r="O154" s="60">
        <f t="shared" si="22"/>
        <v>39660</v>
      </c>
      <c r="P154" s="15">
        <v>10</v>
      </c>
      <c r="Q154" s="60">
        <f t="shared" si="23"/>
        <v>33050</v>
      </c>
      <c r="R154" s="18">
        <f t="shared" si="25"/>
        <v>36</v>
      </c>
      <c r="S154" s="18">
        <f t="shared" si="25"/>
        <v>118980</v>
      </c>
    </row>
    <row r="155" spans="1:21" ht="16.5" thickTop="1" thickBot="1" x14ac:dyDescent="0.3">
      <c r="A155" s="559" t="s">
        <v>473</v>
      </c>
      <c r="B155" s="551"/>
      <c r="C155" s="629"/>
      <c r="D155" s="630"/>
      <c r="E155" s="56" t="s">
        <v>502</v>
      </c>
      <c r="F155" s="32" t="s">
        <v>503</v>
      </c>
      <c r="G155" s="15">
        <v>8</v>
      </c>
      <c r="H155" s="59">
        <f>'TABLA GENERAL'!D179</f>
        <v>403</v>
      </c>
      <c r="I155" s="114">
        <f t="shared" si="20"/>
        <v>3224</v>
      </c>
      <c r="J155" s="15">
        <v>0</v>
      </c>
      <c r="K155" s="60">
        <f t="shared" si="21"/>
        <v>0</v>
      </c>
      <c r="L155" s="15">
        <v>0</v>
      </c>
      <c r="M155" s="60">
        <f t="shared" si="24"/>
        <v>0</v>
      </c>
      <c r="N155" s="15">
        <v>0</v>
      </c>
      <c r="O155" s="60">
        <f t="shared" si="22"/>
        <v>0</v>
      </c>
      <c r="P155" s="15">
        <v>4</v>
      </c>
      <c r="Q155" s="60">
        <f t="shared" si="23"/>
        <v>1612</v>
      </c>
      <c r="R155" s="18">
        <f t="shared" si="25"/>
        <v>4</v>
      </c>
      <c r="S155" s="18">
        <f t="shared" si="25"/>
        <v>1612</v>
      </c>
      <c r="T155">
        <v>4</v>
      </c>
    </row>
    <row r="156" spans="1:21" ht="16.5" thickTop="1" thickBot="1" x14ac:dyDescent="0.3">
      <c r="A156" s="559" t="s">
        <v>473</v>
      </c>
      <c r="B156" s="551"/>
      <c r="C156" s="629"/>
      <c r="D156" s="630"/>
      <c r="E156" s="56" t="s">
        <v>504</v>
      </c>
      <c r="F156" s="32" t="s">
        <v>505</v>
      </c>
      <c r="G156" s="15">
        <v>10</v>
      </c>
      <c r="H156" s="59">
        <f>'TABLA GENERAL'!D180</f>
        <v>140</v>
      </c>
      <c r="I156" s="114">
        <f t="shared" si="20"/>
        <v>1400</v>
      </c>
      <c r="J156" s="15">
        <v>0</v>
      </c>
      <c r="K156" s="60">
        <f t="shared" si="21"/>
        <v>0</v>
      </c>
      <c r="L156" s="15">
        <v>0</v>
      </c>
      <c r="M156" s="60">
        <f t="shared" si="24"/>
        <v>0</v>
      </c>
      <c r="N156" s="15">
        <v>0</v>
      </c>
      <c r="O156" s="60">
        <f t="shared" si="22"/>
        <v>0</v>
      </c>
      <c r="P156" s="15">
        <v>10</v>
      </c>
      <c r="Q156" s="60">
        <f t="shared" si="23"/>
        <v>1400</v>
      </c>
      <c r="R156" s="18">
        <f t="shared" si="25"/>
        <v>10</v>
      </c>
      <c r="S156" s="18">
        <f t="shared" si="25"/>
        <v>1400</v>
      </c>
      <c r="T156">
        <v>5</v>
      </c>
    </row>
    <row r="157" spans="1:21" ht="16.5" thickTop="1" thickBot="1" x14ac:dyDescent="0.3">
      <c r="A157" s="559" t="s">
        <v>473</v>
      </c>
      <c r="B157" s="551"/>
      <c r="C157" s="629"/>
      <c r="D157" s="630"/>
      <c r="E157" s="56" t="s">
        <v>506</v>
      </c>
      <c r="F157" s="32" t="s">
        <v>507</v>
      </c>
      <c r="G157" s="15">
        <v>56</v>
      </c>
      <c r="H157" s="59">
        <v>135</v>
      </c>
      <c r="I157" s="114">
        <f t="shared" si="20"/>
        <v>7560</v>
      </c>
      <c r="J157" s="15">
        <v>0</v>
      </c>
      <c r="K157" s="60">
        <f t="shared" si="21"/>
        <v>0</v>
      </c>
      <c r="L157" s="15">
        <v>0</v>
      </c>
      <c r="M157" s="60">
        <f t="shared" si="24"/>
        <v>0</v>
      </c>
      <c r="N157" s="15">
        <v>0</v>
      </c>
      <c r="O157" s="60">
        <f t="shared" si="22"/>
        <v>0</v>
      </c>
      <c r="P157" s="15">
        <v>14</v>
      </c>
      <c r="Q157" s="60">
        <f t="shared" si="23"/>
        <v>1890</v>
      </c>
      <c r="R157" s="18">
        <f t="shared" si="25"/>
        <v>14</v>
      </c>
      <c r="S157" s="18">
        <f t="shared" si="25"/>
        <v>1890</v>
      </c>
      <c r="T157">
        <v>14</v>
      </c>
    </row>
    <row r="158" spans="1:21" ht="16.5" thickTop="1" thickBot="1" x14ac:dyDescent="0.3">
      <c r="A158" s="559" t="s">
        <v>473</v>
      </c>
      <c r="B158" s="551"/>
      <c r="C158" s="629"/>
      <c r="D158" s="630"/>
      <c r="E158" s="56" t="s">
        <v>508</v>
      </c>
      <c r="F158" s="32" t="s">
        <v>509</v>
      </c>
      <c r="G158" s="15">
        <v>56</v>
      </c>
      <c r="H158" s="59">
        <f>'TABLA GENERAL'!D183</f>
        <v>210</v>
      </c>
      <c r="I158" s="114">
        <f t="shared" si="20"/>
        <v>11760</v>
      </c>
      <c r="J158" s="15">
        <v>0</v>
      </c>
      <c r="K158" s="60">
        <f t="shared" si="21"/>
        <v>0</v>
      </c>
      <c r="L158" s="15">
        <v>0</v>
      </c>
      <c r="M158" s="60">
        <f t="shared" si="24"/>
        <v>0</v>
      </c>
      <c r="N158" s="15">
        <v>0</v>
      </c>
      <c r="O158" s="60">
        <f t="shared" si="22"/>
        <v>0</v>
      </c>
      <c r="P158" s="15">
        <v>14</v>
      </c>
      <c r="Q158" s="60">
        <f t="shared" si="23"/>
        <v>2940</v>
      </c>
      <c r="R158" s="18">
        <f t="shared" si="25"/>
        <v>14</v>
      </c>
      <c r="S158" s="18">
        <f t="shared" si="25"/>
        <v>2940</v>
      </c>
    </row>
    <row r="159" spans="1:21" ht="16.5" thickTop="1" thickBot="1" x14ac:dyDescent="0.3">
      <c r="A159" s="559" t="s">
        <v>473</v>
      </c>
      <c r="B159" s="551"/>
      <c r="C159" s="629"/>
      <c r="D159" s="630"/>
      <c r="E159" s="56" t="s">
        <v>510</v>
      </c>
      <c r="F159" s="32" t="s">
        <v>499</v>
      </c>
      <c r="G159" s="15">
        <v>9</v>
      </c>
      <c r="H159" s="59">
        <f>'TABLA GENERAL'!D184</f>
        <v>964.61538461538464</v>
      </c>
      <c r="I159" s="114">
        <f t="shared" si="20"/>
        <v>8681.538461538461</v>
      </c>
      <c r="J159" s="15">
        <v>0</v>
      </c>
      <c r="K159" s="60">
        <f t="shared" si="21"/>
        <v>0</v>
      </c>
      <c r="L159" s="15">
        <v>0</v>
      </c>
      <c r="M159" s="60">
        <f t="shared" si="24"/>
        <v>0</v>
      </c>
      <c r="N159" s="15">
        <v>0</v>
      </c>
      <c r="O159" s="60">
        <f t="shared" si="22"/>
        <v>0</v>
      </c>
      <c r="P159" s="15">
        <v>4</v>
      </c>
      <c r="Q159" s="60">
        <f t="shared" si="23"/>
        <v>3858.4615384615386</v>
      </c>
      <c r="R159" s="18">
        <f t="shared" si="25"/>
        <v>4</v>
      </c>
      <c r="S159" s="18">
        <f t="shared" si="25"/>
        <v>3858.4615384615386</v>
      </c>
    </row>
    <row r="160" spans="1:21" ht="16.5" thickTop="1" thickBot="1" x14ac:dyDescent="0.3">
      <c r="A160" s="559" t="s">
        <v>473</v>
      </c>
      <c r="B160" s="551"/>
      <c r="C160" s="631"/>
      <c r="D160" s="632"/>
      <c r="E160" s="56" t="s">
        <v>111</v>
      </c>
      <c r="F160" s="32" t="s">
        <v>110</v>
      </c>
      <c r="G160" s="15">
        <v>4</v>
      </c>
      <c r="H160" s="59">
        <f>'TABLA GENERAL'!D185</f>
        <v>5572</v>
      </c>
      <c r="I160" s="114">
        <f t="shared" si="20"/>
        <v>22288</v>
      </c>
      <c r="J160" s="15">
        <v>0</v>
      </c>
      <c r="K160" s="60">
        <f t="shared" si="21"/>
        <v>0</v>
      </c>
      <c r="L160" s="15">
        <v>0</v>
      </c>
      <c r="M160" s="60">
        <f t="shared" si="24"/>
        <v>0</v>
      </c>
      <c r="N160" s="15">
        <v>0</v>
      </c>
      <c r="O160" s="60">
        <f t="shared" si="22"/>
        <v>0</v>
      </c>
      <c r="P160" s="15">
        <v>4</v>
      </c>
      <c r="Q160" s="60">
        <f t="shared" si="23"/>
        <v>22288</v>
      </c>
      <c r="R160" s="18">
        <f t="shared" si="25"/>
        <v>4</v>
      </c>
      <c r="S160" s="18">
        <f t="shared" si="25"/>
        <v>22288</v>
      </c>
    </row>
    <row r="161" spans="1:20" ht="16.5" customHeight="1" thickTop="1" thickBot="1" x14ac:dyDescent="0.3">
      <c r="A161" s="559" t="s">
        <v>473</v>
      </c>
      <c r="B161" s="551"/>
      <c r="C161" s="633" t="s">
        <v>511</v>
      </c>
      <c r="D161" s="634"/>
      <c r="E161" s="56" t="s">
        <v>512</v>
      </c>
      <c r="F161" s="32" t="s">
        <v>513</v>
      </c>
      <c r="G161" s="15">
        <v>20</v>
      </c>
      <c r="H161" s="59">
        <f>'TABLA GENERAL'!D186</f>
        <v>1200</v>
      </c>
      <c r="I161" s="114">
        <f t="shared" si="20"/>
        <v>24000</v>
      </c>
      <c r="J161" s="15">
        <v>1</v>
      </c>
      <c r="K161" s="60">
        <f t="shared" si="21"/>
        <v>1200</v>
      </c>
      <c r="L161" s="15">
        <v>1</v>
      </c>
      <c r="M161" s="60">
        <f t="shared" si="24"/>
        <v>1200</v>
      </c>
      <c r="N161" s="15">
        <v>4</v>
      </c>
      <c r="O161" s="60">
        <f t="shared" si="22"/>
        <v>4800</v>
      </c>
      <c r="P161" s="15">
        <v>2</v>
      </c>
      <c r="Q161" s="60">
        <f t="shared" si="23"/>
        <v>2400</v>
      </c>
      <c r="R161" s="18">
        <f t="shared" si="25"/>
        <v>8</v>
      </c>
      <c r="S161" s="18">
        <f t="shared" si="25"/>
        <v>9600</v>
      </c>
    </row>
    <row r="162" spans="1:20" ht="16.5" thickTop="1" thickBot="1" x14ac:dyDescent="0.3">
      <c r="A162" s="559" t="s">
        <v>473</v>
      </c>
      <c r="B162" s="551"/>
      <c r="C162" s="629"/>
      <c r="D162" s="630"/>
      <c r="E162" s="56" t="s">
        <v>105</v>
      </c>
      <c r="F162" s="32" t="s">
        <v>104</v>
      </c>
      <c r="G162" s="15">
        <v>1</v>
      </c>
      <c r="H162" s="59">
        <f>'TABLA GENERAL'!D187</f>
        <v>19274</v>
      </c>
      <c r="I162" s="114">
        <f t="shared" si="20"/>
        <v>19274</v>
      </c>
      <c r="J162" s="15">
        <v>0</v>
      </c>
      <c r="K162" s="60">
        <f t="shared" si="21"/>
        <v>0</v>
      </c>
      <c r="L162" s="15">
        <v>0</v>
      </c>
      <c r="M162" s="60">
        <f t="shared" si="24"/>
        <v>0</v>
      </c>
      <c r="N162" s="15">
        <v>0</v>
      </c>
      <c r="O162" s="60">
        <f t="shared" si="22"/>
        <v>0</v>
      </c>
      <c r="P162" s="15">
        <v>1</v>
      </c>
      <c r="Q162" s="60">
        <f t="shared" si="23"/>
        <v>19274</v>
      </c>
      <c r="R162" s="18">
        <f t="shared" si="25"/>
        <v>1</v>
      </c>
      <c r="S162" s="18">
        <f t="shared" si="25"/>
        <v>19274</v>
      </c>
      <c r="T162">
        <v>1</v>
      </c>
    </row>
    <row r="163" spans="1:20" ht="16.5" thickTop="1" thickBot="1" x14ac:dyDescent="0.3">
      <c r="A163" s="559"/>
      <c r="B163" s="551"/>
      <c r="C163" s="629"/>
      <c r="D163" s="630"/>
      <c r="E163" s="56" t="s">
        <v>103</v>
      </c>
      <c r="F163" s="32" t="s">
        <v>102</v>
      </c>
      <c r="G163" s="15">
        <v>13</v>
      </c>
      <c r="H163" s="59">
        <f>'TABLA GENERAL'!D173</f>
        <v>13144</v>
      </c>
      <c r="I163" s="114">
        <f t="shared" si="20"/>
        <v>170872</v>
      </c>
      <c r="J163" s="15">
        <v>0</v>
      </c>
      <c r="K163" s="60">
        <f t="shared" si="21"/>
        <v>0</v>
      </c>
      <c r="L163" s="15">
        <v>0</v>
      </c>
      <c r="M163" s="60">
        <f t="shared" si="24"/>
        <v>0</v>
      </c>
      <c r="N163" s="15">
        <v>0</v>
      </c>
      <c r="O163" s="60">
        <f t="shared" si="22"/>
        <v>0</v>
      </c>
      <c r="P163" s="15">
        <v>4</v>
      </c>
      <c r="Q163" s="60">
        <f t="shared" si="23"/>
        <v>52576</v>
      </c>
      <c r="R163" s="18">
        <f t="shared" si="25"/>
        <v>4</v>
      </c>
      <c r="S163" s="18">
        <f t="shared" si="25"/>
        <v>52576</v>
      </c>
    </row>
    <row r="164" spans="1:20" ht="16.5" thickTop="1" thickBot="1" x14ac:dyDescent="0.3">
      <c r="A164" s="559"/>
      <c r="B164" s="551"/>
      <c r="C164" s="629"/>
      <c r="D164" s="630"/>
      <c r="E164" s="56" t="s">
        <v>101</v>
      </c>
      <c r="F164" s="32" t="s">
        <v>100</v>
      </c>
      <c r="G164" s="15">
        <v>4</v>
      </c>
      <c r="H164" s="59">
        <f>'TABLA GENERAL'!D174</f>
        <v>7500</v>
      </c>
      <c r="I164" s="114">
        <f t="shared" si="20"/>
        <v>30000</v>
      </c>
      <c r="J164" s="15">
        <v>0</v>
      </c>
      <c r="K164" s="60">
        <f t="shared" si="21"/>
        <v>0</v>
      </c>
      <c r="L164" s="15">
        <v>0</v>
      </c>
      <c r="M164" s="60">
        <f t="shared" si="24"/>
        <v>0</v>
      </c>
      <c r="N164" s="15">
        <v>0</v>
      </c>
      <c r="O164" s="60">
        <f t="shared" si="22"/>
        <v>0</v>
      </c>
      <c r="P164" s="15">
        <v>4</v>
      </c>
      <c r="Q164" s="60">
        <f t="shared" si="23"/>
        <v>30000</v>
      </c>
      <c r="R164" s="18">
        <f t="shared" si="25"/>
        <v>4</v>
      </c>
      <c r="S164" s="18">
        <f t="shared" si="25"/>
        <v>30000</v>
      </c>
    </row>
    <row r="165" spans="1:20" ht="16.5" thickTop="1" thickBot="1" x14ac:dyDescent="0.3">
      <c r="A165" s="559"/>
      <c r="B165" s="551"/>
      <c r="C165" s="629"/>
      <c r="D165" s="630"/>
      <c r="E165" s="56" t="s">
        <v>99</v>
      </c>
      <c r="F165" s="32" t="s">
        <v>98</v>
      </c>
      <c r="G165" s="15">
        <v>1</v>
      </c>
      <c r="H165" s="59">
        <f>'TABLA GENERAL'!D175</f>
        <v>8750</v>
      </c>
      <c r="I165" s="114">
        <f t="shared" si="20"/>
        <v>8750</v>
      </c>
      <c r="J165" s="15">
        <v>0</v>
      </c>
      <c r="K165" s="60">
        <f t="shared" si="21"/>
        <v>0</v>
      </c>
      <c r="L165" s="15">
        <v>0</v>
      </c>
      <c r="M165" s="60">
        <f t="shared" si="24"/>
        <v>0</v>
      </c>
      <c r="N165" s="15">
        <v>0</v>
      </c>
      <c r="O165" s="60">
        <f t="shared" si="22"/>
        <v>0</v>
      </c>
      <c r="P165" s="15">
        <v>1</v>
      </c>
      <c r="Q165" s="60">
        <f t="shared" si="23"/>
        <v>8750</v>
      </c>
      <c r="R165" s="18">
        <f t="shared" si="25"/>
        <v>1</v>
      </c>
      <c r="S165" s="18">
        <f t="shared" si="25"/>
        <v>8750</v>
      </c>
      <c r="T165">
        <v>1</v>
      </c>
    </row>
    <row r="166" spans="1:20" ht="16.5" thickTop="1" thickBot="1" x14ac:dyDescent="0.3">
      <c r="A166" s="559" t="s">
        <v>473</v>
      </c>
      <c r="B166" s="551"/>
      <c r="C166" s="629"/>
      <c r="D166" s="630"/>
      <c r="E166" s="56" t="s">
        <v>514</v>
      </c>
      <c r="F166" s="32" t="s">
        <v>515</v>
      </c>
      <c r="G166" s="15">
        <v>5</v>
      </c>
      <c r="H166" s="59">
        <f>'TABLA GENERAL'!D188</f>
        <v>48</v>
      </c>
      <c r="I166" s="114">
        <f t="shared" si="20"/>
        <v>240</v>
      </c>
      <c r="J166" s="15">
        <v>0</v>
      </c>
      <c r="K166" s="60">
        <f t="shared" si="21"/>
        <v>0</v>
      </c>
      <c r="L166" s="15">
        <v>0</v>
      </c>
      <c r="M166" s="60">
        <f t="shared" si="24"/>
        <v>0</v>
      </c>
      <c r="N166" s="15">
        <v>0</v>
      </c>
      <c r="O166" s="60">
        <f t="shared" si="22"/>
        <v>0</v>
      </c>
      <c r="P166" s="15">
        <v>2</v>
      </c>
      <c r="Q166" s="60">
        <f t="shared" si="23"/>
        <v>96</v>
      </c>
      <c r="R166" s="18">
        <f t="shared" si="25"/>
        <v>2</v>
      </c>
      <c r="S166" s="18">
        <f t="shared" si="25"/>
        <v>96</v>
      </c>
    </row>
    <row r="167" spans="1:20" ht="18" thickTop="1" thickBot="1" x14ac:dyDescent="0.3">
      <c r="A167" s="112"/>
      <c r="B167" s="112"/>
      <c r="C167" s="112"/>
      <c r="D167" s="112"/>
      <c r="E167" s="112"/>
      <c r="F167" s="112" t="s">
        <v>516</v>
      </c>
      <c r="G167" s="112"/>
      <c r="H167" s="112"/>
      <c r="I167" s="118">
        <f>SUM(I137:I166)</f>
        <v>1116775.5384615385</v>
      </c>
      <c r="J167" s="112"/>
      <c r="K167" s="119">
        <f>SUM(K137:K166)</f>
        <v>157098</v>
      </c>
      <c r="L167" s="112"/>
      <c r="M167" s="119">
        <f>SUM(M137:M166)</f>
        <v>72850</v>
      </c>
      <c r="N167" s="112"/>
      <c r="O167" s="119">
        <f>SUM(O137:O166)</f>
        <v>173710</v>
      </c>
      <c r="P167" s="112"/>
      <c r="Q167" s="119">
        <f>SUM(Q137:Q166)</f>
        <v>364266.4615384615</v>
      </c>
      <c r="R167" s="112">
        <f t="shared" si="25"/>
        <v>0</v>
      </c>
      <c r="S167" s="119">
        <f>Q167+O167+M167+K167</f>
        <v>767924.4615384615</v>
      </c>
      <c r="T167" s="14">
        <f>Q167+O167+M167+K167</f>
        <v>767924.4615384615</v>
      </c>
    </row>
    <row r="169" spans="1:20" ht="15.75" thickBot="1" x14ac:dyDescent="0.3"/>
    <row r="170" spans="1:20" ht="47.25" customHeight="1" thickBot="1" x14ac:dyDescent="0.3">
      <c r="B170" s="195"/>
      <c r="C170" s="195"/>
      <c r="D170" s="195"/>
      <c r="E170" s="195"/>
      <c r="F170" s="617" t="s">
        <v>517</v>
      </c>
      <c r="G170" s="618"/>
      <c r="H170" s="618"/>
      <c r="I170" s="618"/>
      <c r="J170" s="618"/>
      <c r="K170" s="618"/>
      <c r="L170" s="618"/>
      <c r="M170" s="618"/>
      <c r="N170" s="618"/>
      <c r="O170" s="618"/>
      <c r="P170" s="618"/>
      <c r="Q170" s="618"/>
      <c r="R170" s="625" t="s">
        <v>227</v>
      </c>
      <c r="S170" s="626"/>
    </row>
    <row r="171" spans="1:20" ht="50.25" thickBot="1" x14ac:dyDescent="0.3">
      <c r="A171" s="89" t="s">
        <v>228</v>
      </c>
      <c r="B171" s="89"/>
      <c r="C171" s="89"/>
      <c r="D171" s="89"/>
      <c r="E171" s="89"/>
      <c r="F171" s="89" t="s">
        <v>85</v>
      </c>
      <c r="G171" s="89" t="s">
        <v>229</v>
      </c>
      <c r="H171" s="89" t="s">
        <v>123</v>
      </c>
      <c r="I171" s="113" t="s">
        <v>230</v>
      </c>
      <c r="J171" s="89">
        <v>2021</v>
      </c>
      <c r="K171" s="89" t="s">
        <v>79</v>
      </c>
      <c r="L171" s="89">
        <v>2022</v>
      </c>
      <c r="M171" s="89" t="s">
        <v>79</v>
      </c>
      <c r="N171" s="89">
        <v>2023</v>
      </c>
      <c r="O171" s="89" t="s">
        <v>79</v>
      </c>
      <c r="P171" s="89">
        <v>2025</v>
      </c>
      <c r="Q171" s="89" t="s">
        <v>79</v>
      </c>
      <c r="R171" s="89" t="s">
        <v>124</v>
      </c>
      <c r="S171" s="89" t="s">
        <v>77</v>
      </c>
    </row>
    <row r="172" spans="1:20" ht="16.5" customHeight="1" thickTop="1" thickBot="1" x14ac:dyDescent="0.3">
      <c r="A172" s="558" t="s">
        <v>517</v>
      </c>
      <c r="B172" s="550" t="s">
        <v>518</v>
      </c>
      <c r="C172" s="627" t="s">
        <v>519</v>
      </c>
      <c r="D172" s="628"/>
      <c r="E172" s="56" t="s">
        <v>520</v>
      </c>
      <c r="F172" s="48" t="s">
        <v>521</v>
      </c>
      <c r="G172" s="47">
        <v>130</v>
      </c>
      <c r="H172" s="72">
        <f>'TABLA GENERAL'!D196</f>
        <v>1753</v>
      </c>
      <c r="I172" s="114">
        <f>+H172*G172</f>
        <v>227890</v>
      </c>
      <c r="J172" s="51">
        <v>0</v>
      </c>
      <c r="K172" s="60">
        <f t="shared" ref="K172:K197" si="26">J172*H172</f>
        <v>0</v>
      </c>
      <c r="L172" s="51">
        <v>0</v>
      </c>
      <c r="M172" s="60">
        <f t="shared" ref="M172:M197" si="27">L172*H172</f>
        <v>0</v>
      </c>
      <c r="N172" s="51"/>
      <c r="O172" s="60">
        <f t="shared" ref="O172:O197" si="28">N172*H172</f>
        <v>0</v>
      </c>
      <c r="P172" s="51">
        <v>12</v>
      </c>
      <c r="Q172" s="60">
        <f t="shared" ref="Q172:Q197" si="29">P172*H172</f>
        <v>21036</v>
      </c>
      <c r="R172" s="18">
        <f t="shared" ref="R172:S187" si="30">P172+N172+L172+J172</f>
        <v>12</v>
      </c>
      <c r="S172" s="18">
        <f t="shared" si="30"/>
        <v>21036</v>
      </c>
    </row>
    <row r="173" spans="1:20" ht="16.5" thickTop="1" thickBot="1" x14ac:dyDescent="0.3">
      <c r="A173" s="559" t="s">
        <v>517</v>
      </c>
      <c r="B173" s="551"/>
      <c r="C173" s="629"/>
      <c r="D173" s="630"/>
      <c r="E173" s="56" t="s">
        <v>125</v>
      </c>
      <c r="F173" s="32" t="s">
        <v>126</v>
      </c>
      <c r="G173" s="15">
        <v>1</v>
      </c>
      <c r="H173" s="59">
        <f>'TABLA GENERAL'!D198</f>
        <v>8540</v>
      </c>
      <c r="I173" s="114">
        <f t="shared" ref="I173:I196" si="31">+H173*G173</f>
        <v>8540</v>
      </c>
      <c r="J173" s="51">
        <v>0</v>
      </c>
      <c r="K173" s="60">
        <f t="shared" si="26"/>
        <v>0</v>
      </c>
      <c r="L173" s="15">
        <v>0</v>
      </c>
      <c r="M173" s="60">
        <f t="shared" si="27"/>
        <v>0</v>
      </c>
      <c r="N173" s="15"/>
      <c r="O173" s="60">
        <f t="shared" si="28"/>
        <v>0</v>
      </c>
      <c r="P173" s="15">
        <v>1</v>
      </c>
      <c r="Q173" s="60">
        <f t="shared" si="29"/>
        <v>8540</v>
      </c>
      <c r="R173" s="18">
        <f t="shared" si="30"/>
        <v>1</v>
      </c>
      <c r="S173" s="18">
        <f t="shared" si="30"/>
        <v>8540</v>
      </c>
    </row>
    <row r="174" spans="1:20" ht="46.5" thickTop="1" thickBot="1" x14ac:dyDescent="0.3">
      <c r="A174" s="559" t="s">
        <v>517</v>
      </c>
      <c r="B174" s="551"/>
      <c r="C174" s="629"/>
      <c r="D174" s="630"/>
      <c r="E174" s="56" t="s">
        <v>128</v>
      </c>
      <c r="F174" s="32" t="s">
        <v>129</v>
      </c>
      <c r="G174" s="15">
        <v>2</v>
      </c>
      <c r="H174" s="59">
        <f>'TABLA GENERAL'!D199</f>
        <v>244998.75</v>
      </c>
      <c r="I174" s="114">
        <f t="shared" si="31"/>
        <v>489997.5</v>
      </c>
      <c r="J174" s="51">
        <v>0</v>
      </c>
      <c r="K174" s="60">
        <f t="shared" si="26"/>
        <v>0</v>
      </c>
      <c r="L174" s="15">
        <v>1</v>
      </c>
      <c r="M174" s="60">
        <f t="shared" si="27"/>
        <v>244998.75</v>
      </c>
      <c r="N174" s="15">
        <v>1</v>
      </c>
      <c r="O174" s="60">
        <f t="shared" si="28"/>
        <v>244998.75</v>
      </c>
      <c r="P174" s="15">
        <v>0</v>
      </c>
      <c r="Q174" s="60">
        <f t="shared" si="29"/>
        <v>0</v>
      </c>
      <c r="R174" s="18">
        <f t="shared" si="30"/>
        <v>2</v>
      </c>
      <c r="S174" s="18">
        <f t="shared" si="30"/>
        <v>489997.5</v>
      </c>
    </row>
    <row r="175" spans="1:20" ht="31.5" thickTop="1" thickBot="1" x14ac:dyDescent="0.3">
      <c r="A175" s="559" t="s">
        <v>517</v>
      </c>
      <c r="B175" s="551"/>
      <c r="C175" s="629"/>
      <c r="D175" s="630"/>
      <c r="E175" s="56" t="s">
        <v>130</v>
      </c>
      <c r="F175" s="32" t="s">
        <v>131</v>
      </c>
      <c r="G175" s="15">
        <v>2</v>
      </c>
      <c r="H175" s="59">
        <f>'TABLA GENERAL'!D200</f>
        <v>54499</v>
      </c>
      <c r="I175" s="114">
        <f t="shared" si="31"/>
        <v>108998</v>
      </c>
      <c r="J175" s="51">
        <v>0</v>
      </c>
      <c r="K175" s="60">
        <f t="shared" si="26"/>
        <v>0</v>
      </c>
      <c r="L175" s="15">
        <v>0</v>
      </c>
      <c r="M175" s="60">
        <f t="shared" si="27"/>
        <v>0</v>
      </c>
      <c r="N175" s="15">
        <v>2</v>
      </c>
      <c r="O175" s="60">
        <f t="shared" si="28"/>
        <v>108998</v>
      </c>
      <c r="P175" s="15">
        <v>0</v>
      </c>
      <c r="Q175" s="60">
        <f t="shared" si="29"/>
        <v>0</v>
      </c>
      <c r="R175" s="18">
        <f t="shared" si="30"/>
        <v>2</v>
      </c>
      <c r="S175" s="18">
        <f t="shared" si="30"/>
        <v>108998</v>
      </c>
    </row>
    <row r="176" spans="1:20" ht="49.5" customHeight="1" thickTop="1" thickBot="1" x14ac:dyDescent="0.3">
      <c r="A176" s="559" t="s">
        <v>517</v>
      </c>
      <c r="B176" s="551"/>
      <c r="C176" s="629"/>
      <c r="D176" s="630"/>
      <c r="E176" s="56" t="s">
        <v>132</v>
      </c>
      <c r="F176" s="32" t="s">
        <v>133</v>
      </c>
      <c r="G176" s="15">
        <v>4</v>
      </c>
      <c r="H176" s="59">
        <f>'TABLA GENERAL'!D201</f>
        <v>57249</v>
      </c>
      <c r="I176" s="114">
        <f t="shared" si="31"/>
        <v>228996</v>
      </c>
      <c r="J176" s="51">
        <v>0</v>
      </c>
      <c r="K176" s="60">
        <f t="shared" si="26"/>
        <v>0</v>
      </c>
      <c r="L176" s="15">
        <v>1</v>
      </c>
      <c r="M176" s="60">
        <f t="shared" si="27"/>
        <v>57249</v>
      </c>
      <c r="N176" s="15">
        <v>3</v>
      </c>
      <c r="O176" s="60">
        <f t="shared" si="28"/>
        <v>171747</v>
      </c>
      <c r="P176" s="15">
        <v>0</v>
      </c>
      <c r="Q176" s="60">
        <f t="shared" si="29"/>
        <v>0</v>
      </c>
      <c r="R176" s="18">
        <f t="shared" si="30"/>
        <v>4</v>
      </c>
      <c r="S176" s="18">
        <f t="shared" si="30"/>
        <v>228996</v>
      </c>
    </row>
    <row r="177" spans="1:19" ht="31.5" thickTop="1" thickBot="1" x14ac:dyDescent="0.3">
      <c r="A177" s="559" t="s">
        <v>517</v>
      </c>
      <c r="B177" s="551"/>
      <c r="C177" s="629"/>
      <c r="D177" s="630"/>
      <c r="E177" s="56" t="s">
        <v>522</v>
      </c>
      <c r="F177" s="32" t="s">
        <v>523</v>
      </c>
      <c r="G177" s="15">
        <v>8</v>
      </c>
      <c r="H177" s="59">
        <f>'TABLA GENERAL'!D203</f>
        <v>710</v>
      </c>
      <c r="I177" s="114">
        <f t="shared" si="31"/>
        <v>5680</v>
      </c>
      <c r="J177" s="51">
        <v>0</v>
      </c>
      <c r="K177" s="60">
        <f t="shared" si="26"/>
        <v>0</v>
      </c>
      <c r="L177" s="15">
        <v>0</v>
      </c>
      <c r="M177" s="60">
        <f t="shared" si="27"/>
        <v>0</v>
      </c>
      <c r="N177" s="15">
        <v>0</v>
      </c>
      <c r="O177" s="60">
        <f t="shared" si="28"/>
        <v>0</v>
      </c>
      <c r="P177" s="15">
        <v>4</v>
      </c>
      <c r="Q177" s="60">
        <f t="shared" si="29"/>
        <v>2840</v>
      </c>
      <c r="R177" s="18">
        <f t="shared" si="30"/>
        <v>4</v>
      </c>
      <c r="S177" s="18">
        <f t="shared" si="30"/>
        <v>2840</v>
      </c>
    </row>
    <row r="178" spans="1:19" ht="31.5" thickTop="1" thickBot="1" x14ac:dyDescent="0.3">
      <c r="A178" s="559" t="s">
        <v>517</v>
      </c>
      <c r="B178" s="551"/>
      <c r="C178" s="629"/>
      <c r="D178" s="630"/>
      <c r="E178" s="56" t="s">
        <v>524</v>
      </c>
      <c r="F178" s="32" t="s">
        <v>525</v>
      </c>
      <c r="G178" s="15">
        <v>8</v>
      </c>
      <c r="H178" s="59">
        <f>'TABLA GENERAL'!D204</f>
        <v>659.99</v>
      </c>
      <c r="I178" s="114">
        <f t="shared" si="31"/>
        <v>5279.92</v>
      </c>
      <c r="J178" s="51">
        <v>0</v>
      </c>
      <c r="K178" s="60">
        <f t="shared" si="26"/>
        <v>0</v>
      </c>
      <c r="L178" s="15">
        <v>2</v>
      </c>
      <c r="M178" s="60">
        <f t="shared" si="27"/>
        <v>1319.98</v>
      </c>
      <c r="N178" s="15">
        <v>0</v>
      </c>
      <c r="O178" s="60">
        <f t="shared" si="28"/>
        <v>0</v>
      </c>
      <c r="P178" s="15">
        <v>4</v>
      </c>
      <c r="Q178" s="60">
        <f t="shared" si="29"/>
        <v>2639.96</v>
      </c>
      <c r="R178" s="18">
        <f t="shared" si="30"/>
        <v>6</v>
      </c>
      <c r="S178" s="18">
        <f t="shared" si="30"/>
        <v>3959.94</v>
      </c>
    </row>
    <row r="179" spans="1:19" ht="16.5" thickTop="1" thickBot="1" x14ac:dyDescent="0.3">
      <c r="A179" s="559" t="s">
        <v>517</v>
      </c>
      <c r="B179" s="551"/>
      <c r="C179" s="631"/>
      <c r="D179" s="632"/>
      <c r="E179" s="56" t="s">
        <v>526</v>
      </c>
      <c r="F179" s="32" t="s">
        <v>527</v>
      </c>
      <c r="G179" s="15">
        <v>45</v>
      </c>
      <c r="H179" s="59">
        <f>'TABLA GENERAL'!D205</f>
        <v>2410.9</v>
      </c>
      <c r="I179" s="114">
        <f t="shared" si="31"/>
        <v>108490.5</v>
      </c>
      <c r="J179" s="51">
        <v>0</v>
      </c>
      <c r="K179" s="60">
        <f t="shared" si="26"/>
        <v>0</v>
      </c>
      <c r="L179" s="15">
        <v>2</v>
      </c>
      <c r="M179" s="60">
        <f t="shared" si="27"/>
        <v>4821.8</v>
      </c>
      <c r="N179" s="15">
        <v>0</v>
      </c>
      <c r="O179" s="60">
        <f t="shared" si="28"/>
        <v>0</v>
      </c>
      <c r="P179" s="15">
        <v>0</v>
      </c>
      <c r="Q179" s="60">
        <f t="shared" si="29"/>
        <v>0</v>
      </c>
      <c r="R179" s="18">
        <f t="shared" si="30"/>
        <v>2</v>
      </c>
      <c r="S179" s="18">
        <f t="shared" si="30"/>
        <v>4821.8</v>
      </c>
    </row>
    <row r="180" spans="1:19" ht="16.5" customHeight="1" thickTop="1" thickBot="1" x14ac:dyDescent="0.3">
      <c r="A180" s="559" t="s">
        <v>517</v>
      </c>
      <c r="B180" s="551"/>
      <c r="C180" s="633" t="s">
        <v>528</v>
      </c>
      <c r="D180" s="634"/>
      <c r="E180" s="56" t="s">
        <v>135</v>
      </c>
      <c r="F180" s="32" t="s">
        <v>136</v>
      </c>
      <c r="G180" s="15">
        <v>13</v>
      </c>
      <c r="H180" s="59">
        <f>'TABLA GENERAL'!D206</f>
        <v>11022</v>
      </c>
      <c r="I180" s="114">
        <f t="shared" si="31"/>
        <v>143286</v>
      </c>
      <c r="J180" s="51">
        <v>0</v>
      </c>
      <c r="K180" s="60">
        <f t="shared" si="26"/>
        <v>0</v>
      </c>
      <c r="L180" s="15">
        <v>0</v>
      </c>
      <c r="M180" s="60">
        <f t="shared" si="27"/>
        <v>0</v>
      </c>
      <c r="N180" s="15">
        <v>3</v>
      </c>
      <c r="O180" s="60">
        <f t="shared" si="28"/>
        <v>33066</v>
      </c>
      <c r="P180" s="15">
        <v>2</v>
      </c>
      <c r="Q180" s="60">
        <f t="shared" si="29"/>
        <v>22044</v>
      </c>
      <c r="R180" s="18">
        <f t="shared" si="30"/>
        <v>5</v>
      </c>
      <c r="S180" s="18">
        <f t="shared" si="30"/>
        <v>55110</v>
      </c>
    </row>
    <row r="181" spans="1:19" ht="31.5" thickTop="1" thickBot="1" x14ac:dyDescent="0.3">
      <c r="A181" s="559" t="s">
        <v>517</v>
      </c>
      <c r="B181" s="551"/>
      <c r="C181" s="629"/>
      <c r="D181" s="630"/>
      <c r="E181" s="56" t="s">
        <v>529</v>
      </c>
      <c r="F181" s="32" t="s">
        <v>530</v>
      </c>
      <c r="G181" s="15">
        <v>52</v>
      </c>
      <c r="H181" s="59">
        <f>'TABLA GENERAL'!D207</f>
        <v>2134</v>
      </c>
      <c r="I181" s="114">
        <f t="shared" si="31"/>
        <v>110968</v>
      </c>
      <c r="J181" s="51">
        <v>0</v>
      </c>
      <c r="K181" s="60">
        <f t="shared" si="26"/>
        <v>0</v>
      </c>
      <c r="L181" s="15">
        <v>2</v>
      </c>
      <c r="M181" s="60">
        <f t="shared" si="27"/>
        <v>4268</v>
      </c>
      <c r="N181" s="15">
        <v>0</v>
      </c>
      <c r="O181" s="60">
        <f t="shared" si="28"/>
        <v>0</v>
      </c>
      <c r="P181" s="15">
        <v>4</v>
      </c>
      <c r="Q181" s="60">
        <f t="shared" si="29"/>
        <v>8536</v>
      </c>
      <c r="R181" s="18">
        <f t="shared" si="30"/>
        <v>6</v>
      </c>
      <c r="S181" s="18">
        <f t="shared" si="30"/>
        <v>12804</v>
      </c>
    </row>
    <row r="182" spans="1:19" ht="16.5" thickTop="1" thickBot="1" x14ac:dyDescent="0.3">
      <c r="A182" s="559" t="s">
        <v>517</v>
      </c>
      <c r="B182" s="551"/>
      <c r="C182" s="629"/>
      <c r="D182" s="630"/>
      <c r="E182" s="56" t="s">
        <v>137</v>
      </c>
      <c r="F182" s="32" t="s">
        <v>138</v>
      </c>
      <c r="G182" s="15">
        <v>2</v>
      </c>
      <c r="H182" s="59">
        <f>'TABLA GENERAL'!D208</f>
        <v>250260</v>
      </c>
      <c r="I182" s="114">
        <f t="shared" si="31"/>
        <v>500520</v>
      </c>
      <c r="J182" s="51">
        <v>0</v>
      </c>
      <c r="K182" s="60">
        <f t="shared" si="26"/>
        <v>0</v>
      </c>
      <c r="L182" s="15">
        <v>0</v>
      </c>
      <c r="M182" s="60">
        <f t="shared" si="27"/>
        <v>0</v>
      </c>
      <c r="N182" s="15">
        <v>0</v>
      </c>
      <c r="O182" s="60">
        <f t="shared" si="28"/>
        <v>0</v>
      </c>
      <c r="P182" s="15">
        <v>1</v>
      </c>
      <c r="Q182" s="60">
        <f t="shared" si="29"/>
        <v>250260</v>
      </c>
      <c r="R182" s="18">
        <f t="shared" si="30"/>
        <v>1</v>
      </c>
      <c r="S182" s="18">
        <f t="shared" si="30"/>
        <v>250260</v>
      </c>
    </row>
    <row r="183" spans="1:19" ht="16.5" thickTop="1" thickBot="1" x14ac:dyDescent="0.3">
      <c r="A183" s="559" t="s">
        <v>517</v>
      </c>
      <c r="B183" s="551"/>
      <c r="C183" s="629"/>
      <c r="D183" s="630"/>
      <c r="E183" s="56" t="s">
        <v>139</v>
      </c>
      <c r="F183" s="32" t="s">
        <v>140</v>
      </c>
      <c r="G183" s="15">
        <v>2</v>
      </c>
      <c r="H183" s="59">
        <f>'TABLA GENERAL'!D209</f>
        <v>75650</v>
      </c>
      <c r="I183" s="114">
        <f t="shared" si="31"/>
        <v>151300</v>
      </c>
      <c r="J183" s="51">
        <v>0</v>
      </c>
      <c r="K183" s="60">
        <f t="shared" si="26"/>
        <v>0</v>
      </c>
      <c r="L183" s="15">
        <v>0</v>
      </c>
      <c r="M183" s="60">
        <f t="shared" si="27"/>
        <v>0</v>
      </c>
      <c r="N183" s="15">
        <v>0</v>
      </c>
      <c r="O183" s="60">
        <f t="shared" si="28"/>
        <v>0</v>
      </c>
      <c r="P183" s="15">
        <v>1</v>
      </c>
      <c r="Q183" s="60">
        <f t="shared" si="29"/>
        <v>75650</v>
      </c>
      <c r="R183" s="18">
        <f t="shared" si="30"/>
        <v>1</v>
      </c>
      <c r="S183" s="18">
        <f t="shared" si="30"/>
        <v>75650</v>
      </c>
    </row>
    <row r="184" spans="1:19" ht="16.5" thickTop="1" thickBot="1" x14ac:dyDescent="0.3">
      <c r="A184" s="559" t="s">
        <v>517</v>
      </c>
      <c r="B184" s="551"/>
      <c r="C184" s="629"/>
      <c r="D184" s="630"/>
      <c r="E184" s="56" t="s">
        <v>141</v>
      </c>
      <c r="F184" s="32" t="s">
        <v>142</v>
      </c>
      <c r="G184" s="15">
        <v>2</v>
      </c>
      <c r="H184" s="59">
        <f>'TABLA GENERAL'!D210</f>
        <v>181147</v>
      </c>
      <c r="I184" s="114">
        <f t="shared" si="31"/>
        <v>362294</v>
      </c>
      <c r="J184" s="51">
        <v>0</v>
      </c>
      <c r="K184" s="60">
        <f t="shared" si="26"/>
        <v>0</v>
      </c>
      <c r="L184" s="15">
        <v>0</v>
      </c>
      <c r="M184" s="60">
        <f t="shared" si="27"/>
        <v>0</v>
      </c>
      <c r="N184" s="15">
        <v>1</v>
      </c>
      <c r="O184" s="60">
        <f t="shared" si="28"/>
        <v>181147</v>
      </c>
      <c r="P184" s="15">
        <v>1</v>
      </c>
      <c r="Q184" s="60">
        <f t="shared" si="29"/>
        <v>181147</v>
      </c>
      <c r="R184" s="18">
        <f t="shared" si="30"/>
        <v>2</v>
      </c>
      <c r="S184" s="18">
        <f t="shared" si="30"/>
        <v>362294</v>
      </c>
    </row>
    <row r="185" spans="1:19" ht="16.5" thickTop="1" thickBot="1" x14ac:dyDescent="0.3">
      <c r="A185" s="559" t="s">
        <v>517</v>
      </c>
      <c r="B185" s="551"/>
      <c r="C185" s="629"/>
      <c r="D185" s="630"/>
      <c r="E185" s="56" t="s">
        <v>143</v>
      </c>
      <c r="F185" s="32" t="s">
        <v>144</v>
      </c>
      <c r="G185" s="15">
        <v>6</v>
      </c>
      <c r="H185" s="59">
        <f>'TABLA GENERAL'!D211</f>
        <v>247000</v>
      </c>
      <c r="I185" s="114">
        <f t="shared" si="31"/>
        <v>1482000</v>
      </c>
      <c r="J185" s="51">
        <v>0</v>
      </c>
      <c r="K185" s="60">
        <f t="shared" si="26"/>
        <v>0</v>
      </c>
      <c r="L185" s="15">
        <v>0</v>
      </c>
      <c r="M185" s="60">
        <f t="shared" si="27"/>
        <v>0</v>
      </c>
      <c r="N185" s="15">
        <v>0</v>
      </c>
      <c r="O185" s="60">
        <f t="shared" si="28"/>
        <v>0</v>
      </c>
      <c r="P185" s="15">
        <v>2</v>
      </c>
      <c r="Q185" s="60">
        <f t="shared" si="29"/>
        <v>494000</v>
      </c>
      <c r="R185" s="18">
        <f t="shared" si="30"/>
        <v>2</v>
      </c>
      <c r="S185" s="18">
        <f t="shared" si="30"/>
        <v>494000</v>
      </c>
    </row>
    <row r="186" spans="1:19" ht="16.5" thickTop="1" thickBot="1" x14ac:dyDescent="0.3">
      <c r="A186" s="559" t="s">
        <v>517</v>
      </c>
      <c r="B186" s="551"/>
      <c r="C186" s="629"/>
      <c r="D186" s="630"/>
      <c r="E186" s="56" t="s">
        <v>145</v>
      </c>
      <c r="F186" s="32" t="s">
        <v>146</v>
      </c>
      <c r="G186" s="15">
        <v>1</v>
      </c>
      <c r="H186" s="59">
        <f>'TABLA GENERAL'!D212</f>
        <v>12740</v>
      </c>
      <c r="I186" s="114">
        <f t="shared" si="31"/>
        <v>12740</v>
      </c>
      <c r="J186" s="51">
        <v>0</v>
      </c>
      <c r="K186" s="60">
        <f t="shared" si="26"/>
        <v>0</v>
      </c>
      <c r="L186" s="15">
        <v>0</v>
      </c>
      <c r="M186" s="60">
        <f t="shared" si="27"/>
        <v>0</v>
      </c>
      <c r="N186" s="15">
        <v>0</v>
      </c>
      <c r="O186" s="60">
        <f t="shared" si="28"/>
        <v>0</v>
      </c>
      <c r="P186" s="15">
        <v>1</v>
      </c>
      <c r="Q186" s="60">
        <f t="shared" si="29"/>
        <v>12740</v>
      </c>
      <c r="R186" s="18">
        <f t="shared" si="30"/>
        <v>1</v>
      </c>
      <c r="S186" s="18">
        <f t="shared" si="30"/>
        <v>12740</v>
      </c>
    </row>
    <row r="187" spans="1:19" ht="16.5" thickTop="1" thickBot="1" x14ac:dyDescent="0.3">
      <c r="A187" s="559" t="s">
        <v>517</v>
      </c>
      <c r="B187" s="551"/>
      <c r="C187" s="629"/>
      <c r="D187" s="630"/>
      <c r="E187" s="56" t="s">
        <v>147</v>
      </c>
      <c r="F187" s="32" t="s">
        <v>148</v>
      </c>
      <c r="G187" s="15">
        <v>1</v>
      </c>
      <c r="H187" s="59">
        <f>'TABLA GENERAL'!D213</f>
        <v>24190</v>
      </c>
      <c r="I187" s="114">
        <f t="shared" si="31"/>
        <v>24190</v>
      </c>
      <c r="J187" s="51">
        <v>0</v>
      </c>
      <c r="K187" s="60">
        <f t="shared" si="26"/>
        <v>0</v>
      </c>
      <c r="L187" s="15">
        <v>0</v>
      </c>
      <c r="M187" s="60">
        <f t="shared" si="27"/>
        <v>0</v>
      </c>
      <c r="N187" s="15">
        <v>0</v>
      </c>
      <c r="O187" s="60">
        <f t="shared" si="28"/>
        <v>0</v>
      </c>
      <c r="P187" s="15">
        <v>1</v>
      </c>
      <c r="Q187" s="60">
        <f t="shared" si="29"/>
        <v>24190</v>
      </c>
      <c r="R187" s="18">
        <f t="shared" si="30"/>
        <v>1</v>
      </c>
      <c r="S187" s="18">
        <f t="shared" si="30"/>
        <v>24190</v>
      </c>
    </row>
    <row r="188" spans="1:19" ht="16.5" thickTop="1" thickBot="1" x14ac:dyDescent="0.3">
      <c r="A188" s="559" t="s">
        <v>517</v>
      </c>
      <c r="B188" s="551"/>
      <c r="C188" s="629"/>
      <c r="D188" s="630"/>
      <c r="E188" s="56" t="s">
        <v>149</v>
      </c>
      <c r="F188" s="32" t="s">
        <v>150</v>
      </c>
      <c r="G188" s="15">
        <v>1</v>
      </c>
      <c r="H188" s="59">
        <f>'TABLA GENERAL'!D214</f>
        <v>61950</v>
      </c>
      <c r="I188" s="114">
        <f t="shared" si="31"/>
        <v>61950</v>
      </c>
      <c r="J188" s="51">
        <v>0</v>
      </c>
      <c r="K188" s="60">
        <f t="shared" si="26"/>
        <v>0</v>
      </c>
      <c r="L188" s="15">
        <v>0</v>
      </c>
      <c r="M188" s="60">
        <f t="shared" si="27"/>
        <v>0</v>
      </c>
      <c r="N188" s="15">
        <v>0</v>
      </c>
      <c r="O188" s="60">
        <f t="shared" si="28"/>
        <v>0</v>
      </c>
      <c r="P188" s="15">
        <v>1</v>
      </c>
      <c r="Q188" s="60">
        <f t="shared" si="29"/>
        <v>61950</v>
      </c>
      <c r="R188" s="18">
        <f t="shared" ref="R188:S198" si="32">P188+N188+L188+J188</f>
        <v>1</v>
      </c>
      <c r="S188" s="18">
        <f t="shared" si="32"/>
        <v>61950</v>
      </c>
    </row>
    <row r="189" spans="1:19" ht="16.5" thickTop="1" thickBot="1" x14ac:dyDescent="0.3">
      <c r="A189" s="559" t="s">
        <v>517</v>
      </c>
      <c r="B189" s="551"/>
      <c r="C189" s="629"/>
      <c r="D189" s="630"/>
      <c r="E189" s="56" t="s">
        <v>151</v>
      </c>
      <c r="F189" s="32" t="s">
        <v>152</v>
      </c>
      <c r="G189" s="15">
        <v>3</v>
      </c>
      <c r="H189" s="59">
        <f>'TABLA GENERAL'!D215</f>
        <v>22080</v>
      </c>
      <c r="I189" s="114">
        <f t="shared" si="31"/>
        <v>66240</v>
      </c>
      <c r="J189" s="51">
        <v>0</v>
      </c>
      <c r="K189" s="60">
        <f t="shared" si="26"/>
        <v>0</v>
      </c>
      <c r="L189" s="15">
        <v>0</v>
      </c>
      <c r="M189" s="60">
        <f t="shared" si="27"/>
        <v>0</v>
      </c>
      <c r="N189" s="15">
        <v>0</v>
      </c>
      <c r="O189" s="60">
        <f t="shared" si="28"/>
        <v>0</v>
      </c>
      <c r="P189" s="15">
        <v>2</v>
      </c>
      <c r="Q189" s="60">
        <f t="shared" si="29"/>
        <v>44160</v>
      </c>
      <c r="R189" s="18">
        <f t="shared" si="32"/>
        <v>2</v>
      </c>
      <c r="S189" s="18">
        <f t="shared" si="32"/>
        <v>44160</v>
      </c>
    </row>
    <row r="190" spans="1:19" ht="16.5" thickTop="1" thickBot="1" x14ac:dyDescent="0.3">
      <c r="A190" s="559" t="s">
        <v>517</v>
      </c>
      <c r="B190" s="551"/>
      <c r="C190" s="629"/>
      <c r="D190" s="630"/>
      <c r="E190" s="56" t="s">
        <v>153</v>
      </c>
      <c r="F190" s="32" t="s">
        <v>154</v>
      </c>
      <c r="G190" s="15">
        <v>1</v>
      </c>
      <c r="H190" s="59">
        <f>'TABLA GENERAL'!D216</f>
        <v>16630</v>
      </c>
      <c r="I190" s="114">
        <f t="shared" si="31"/>
        <v>16630</v>
      </c>
      <c r="J190" s="51">
        <v>0</v>
      </c>
      <c r="K190" s="60">
        <f t="shared" si="26"/>
        <v>0</v>
      </c>
      <c r="L190" s="15">
        <v>0</v>
      </c>
      <c r="M190" s="60">
        <f t="shared" si="27"/>
        <v>0</v>
      </c>
      <c r="N190" s="15">
        <v>0</v>
      </c>
      <c r="O190" s="60">
        <f t="shared" si="28"/>
        <v>0</v>
      </c>
      <c r="P190" s="15">
        <v>1</v>
      </c>
      <c r="Q190" s="60">
        <f t="shared" si="29"/>
        <v>16630</v>
      </c>
      <c r="R190" s="18">
        <f t="shared" si="32"/>
        <v>1</v>
      </c>
      <c r="S190" s="18">
        <f t="shared" si="32"/>
        <v>16630</v>
      </c>
    </row>
    <row r="191" spans="1:19" ht="16.5" thickTop="1" thickBot="1" x14ac:dyDescent="0.3">
      <c r="A191" s="559" t="s">
        <v>517</v>
      </c>
      <c r="B191" s="551"/>
      <c r="C191" s="631"/>
      <c r="D191" s="632"/>
      <c r="E191" s="56" t="s">
        <v>155</v>
      </c>
      <c r="F191" s="32" t="s">
        <v>156</v>
      </c>
      <c r="G191" s="15">
        <v>1</v>
      </c>
      <c r="H191" s="59">
        <f>'TABLA GENERAL'!D217</f>
        <v>72745</v>
      </c>
      <c r="I191" s="114">
        <f t="shared" si="31"/>
        <v>72745</v>
      </c>
      <c r="J191" s="51">
        <v>0</v>
      </c>
      <c r="K191" s="60">
        <f t="shared" si="26"/>
        <v>0</v>
      </c>
      <c r="L191" s="15">
        <v>0</v>
      </c>
      <c r="M191" s="60">
        <f t="shared" si="27"/>
        <v>0</v>
      </c>
      <c r="N191" s="15">
        <v>0</v>
      </c>
      <c r="O191" s="60">
        <f t="shared" si="28"/>
        <v>0</v>
      </c>
      <c r="P191" s="15">
        <v>1</v>
      </c>
      <c r="Q191" s="60">
        <f t="shared" si="29"/>
        <v>72745</v>
      </c>
      <c r="R191" s="18">
        <f t="shared" si="32"/>
        <v>1</v>
      </c>
      <c r="S191" s="18">
        <f t="shared" si="32"/>
        <v>72745</v>
      </c>
    </row>
    <row r="192" spans="1:19" ht="16.5" customHeight="1" thickTop="1" thickBot="1" x14ac:dyDescent="0.3">
      <c r="A192" s="559"/>
      <c r="B192" s="551"/>
      <c r="C192" s="633" t="s">
        <v>531</v>
      </c>
      <c r="D192" s="634"/>
      <c r="E192" s="56" t="s">
        <v>532</v>
      </c>
      <c r="F192" s="32" t="s">
        <v>533</v>
      </c>
      <c r="G192" s="15">
        <v>4</v>
      </c>
      <c r="H192" s="59">
        <v>1800</v>
      </c>
      <c r="I192" s="114">
        <f t="shared" si="31"/>
        <v>7200</v>
      </c>
      <c r="J192" s="51">
        <v>2</v>
      </c>
      <c r="K192" s="60">
        <f t="shared" si="26"/>
        <v>3600</v>
      </c>
      <c r="L192" s="15">
        <v>0</v>
      </c>
      <c r="M192" s="60">
        <f t="shared" si="27"/>
        <v>0</v>
      </c>
      <c r="N192" s="15">
        <v>2</v>
      </c>
      <c r="O192" s="60">
        <f t="shared" si="28"/>
        <v>3600</v>
      </c>
      <c r="P192" s="15">
        <v>0</v>
      </c>
      <c r="Q192" s="60">
        <f t="shared" si="29"/>
        <v>0</v>
      </c>
      <c r="R192" s="18">
        <f t="shared" si="32"/>
        <v>4</v>
      </c>
      <c r="S192" s="18">
        <f t="shared" si="32"/>
        <v>7200</v>
      </c>
    </row>
    <row r="193" spans="1:20" ht="16.5" thickTop="1" thickBot="1" x14ac:dyDescent="0.3">
      <c r="A193" s="559" t="s">
        <v>517</v>
      </c>
      <c r="B193" s="551"/>
      <c r="C193" s="629"/>
      <c r="D193" s="630"/>
      <c r="E193" s="56" t="s">
        <v>157</v>
      </c>
      <c r="F193" s="32" t="s">
        <v>158</v>
      </c>
      <c r="G193" s="15">
        <v>2</v>
      </c>
      <c r="H193" s="59">
        <f>'TABLA GENERAL'!D218</f>
        <v>18224</v>
      </c>
      <c r="I193" s="114">
        <f t="shared" si="31"/>
        <v>36448</v>
      </c>
      <c r="J193" s="51">
        <v>0</v>
      </c>
      <c r="K193" s="60">
        <f t="shared" si="26"/>
        <v>0</v>
      </c>
      <c r="L193" s="15">
        <v>0</v>
      </c>
      <c r="M193" s="60">
        <f t="shared" si="27"/>
        <v>0</v>
      </c>
      <c r="N193" s="15">
        <v>0</v>
      </c>
      <c r="O193" s="60">
        <f t="shared" si="28"/>
        <v>0</v>
      </c>
      <c r="P193" s="15">
        <v>1</v>
      </c>
      <c r="Q193" s="60">
        <f t="shared" si="29"/>
        <v>18224</v>
      </c>
      <c r="R193" s="18">
        <f t="shared" si="32"/>
        <v>1</v>
      </c>
      <c r="S193" s="18">
        <f t="shared" si="32"/>
        <v>18224</v>
      </c>
    </row>
    <row r="194" spans="1:20" ht="31.5" thickTop="1" thickBot="1" x14ac:dyDescent="0.3">
      <c r="A194" s="559" t="s">
        <v>517</v>
      </c>
      <c r="B194" s="551"/>
      <c r="C194" s="629"/>
      <c r="D194" s="630"/>
      <c r="E194" s="56" t="s">
        <v>159</v>
      </c>
      <c r="F194" s="32" t="s">
        <v>160</v>
      </c>
      <c r="G194" s="15">
        <v>2</v>
      </c>
      <c r="H194" s="59">
        <v>47215</v>
      </c>
      <c r="I194" s="114">
        <f t="shared" si="31"/>
        <v>94430</v>
      </c>
      <c r="J194" s="51">
        <v>0</v>
      </c>
      <c r="K194" s="60">
        <f t="shared" si="26"/>
        <v>0</v>
      </c>
      <c r="L194" s="15">
        <v>0</v>
      </c>
      <c r="M194" s="60">
        <f t="shared" si="27"/>
        <v>0</v>
      </c>
      <c r="N194" s="15">
        <v>0</v>
      </c>
      <c r="O194" s="60">
        <f t="shared" si="28"/>
        <v>0</v>
      </c>
      <c r="P194" s="15">
        <v>1</v>
      </c>
      <c r="Q194" s="60">
        <f t="shared" si="29"/>
        <v>47215</v>
      </c>
      <c r="R194" s="18">
        <f t="shared" si="32"/>
        <v>1</v>
      </c>
      <c r="S194" s="18">
        <f t="shared" si="32"/>
        <v>47215</v>
      </c>
    </row>
    <row r="195" spans="1:20" ht="16.5" thickTop="1" thickBot="1" x14ac:dyDescent="0.3">
      <c r="A195" s="559" t="s">
        <v>517</v>
      </c>
      <c r="B195" s="551"/>
      <c r="C195" s="629"/>
      <c r="D195" s="630"/>
      <c r="E195" s="56" t="s">
        <v>161</v>
      </c>
      <c r="F195" s="32" t="s">
        <v>162</v>
      </c>
      <c r="G195" s="15">
        <v>3</v>
      </c>
      <c r="H195" s="59">
        <f>'TABLA GENERAL'!D220</f>
        <v>108900</v>
      </c>
      <c r="I195" s="114">
        <f t="shared" si="31"/>
        <v>326700</v>
      </c>
      <c r="J195" s="51">
        <v>0</v>
      </c>
      <c r="K195" s="60">
        <f t="shared" si="26"/>
        <v>0</v>
      </c>
      <c r="L195" s="15">
        <v>0</v>
      </c>
      <c r="M195" s="60">
        <f t="shared" si="27"/>
        <v>0</v>
      </c>
      <c r="N195" s="15">
        <v>0</v>
      </c>
      <c r="O195" s="60">
        <f t="shared" si="28"/>
        <v>0</v>
      </c>
      <c r="P195" s="15">
        <v>1</v>
      </c>
      <c r="Q195" s="60">
        <f t="shared" si="29"/>
        <v>108900</v>
      </c>
      <c r="R195" s="18">
        <f t="shared" si="32"/>
        <v>1</v>
      </c>
      <c r="S195" s="18">
        <f t="shared" si="32"/>
        <v>108900</v>
      </c>
    </row>
    <row r="196" spans="1:20" ht="31.5" thickTop="1" thickBot="1" x14ac:dyDescent="0.3">
      <c r="A196" s="559" t="s">
        <v>517</v>
      </c>
      <c r="B196" s="551"/>
      <c r="C196" s="629"/>
      <c r="D196" s="630"/>
      <c r="E196" s="56" t="s">
        <v>163</v>
      </c>
      <c r="F196" s="32" t="s">
        <v>164</v>
      </c>
      <c r="G196" s="15">
        <v>4</v>
      </c>
      <c r="H196" s="59">
        <f>'TABLA GENERAL'!D221</f>
        <v>48964</v>
      </c>
      <c r="I196" s="114">
        <f t="shared" si="31"/>
        <v>195856</v>
      </c>
      <c r="J196" s="51">
        <v>0</v>
      </c>
      <c r="K196" s="60">
        <f t="shared" si="26"/>
        <v>0</v>
      </c>
      <c r="L196" s="15">
        <v>0</v>
      </c>
      <c r="M196" s="60">
        <f t="shared" si="27"/>
        <v>0</v>
      </c>
      <c r="N196" s="15">
        <v>0</v>
      </c>
      <c r="O196" s="60">
        <f t="shared" si="28"/>
        <v>0</v>
      </c>
      <c r="P196" s="15">
        <v>1</v>
      </c>
      <c r="Q196" s="60">
        <f t="shared" si="29"/>
        <v>48964</v>
      </c>
      <c r="R196" s="18">
        <f t="shared" si="32"/>
        <v>1</v>
      </c>
      <c r="S196" s="18">
        <f t="shared" si="32"/>
        <v>48964</v>
      </c>
    </row>
    <row r="197" spans="1:20" ht="16.5" thickTop="1" thickBot="1" x14ac:dyDescent="0.3">
      <c r="A197" s="560" t="s">
        <v>517</v>
      </c>
      <c r="B197" s="552"/>
      <c r="C197" s="635"/>
      <c r="D197" s="636"/>
      <c r="E197" s="56" t="s">
        <v>165</v>
      </c>
      <c r="F197" s="57" t="s">
        <v>166</v>
      </c>
      <c r="G197" s="51">
        <v>2</v>
      </c>
      <c r="H197" s="59">
        <f>'TABLA GENERAL'!D222</f>
        <v>2692.3</v>
      </c>
      <c r="I197" s="114">
        <f>+H197*G197</f>
        <v>5384.6</v>
      </c>
      <c r="J197" s="51">
        <v>0</v>
      </c>
      <c r="K197" s="60">
        <f t="shared" si="26"/>
        <v>0</v>
      </c>
      <c r="L197" s="15">
        <v>0</v>
      </c>
      <c r="M197" s="60">
        <f t="shared" si="27"/>
        <v>0</v>
      </c>
      <c r="N197" s="51">
        <v>0</v>
      </c>
      <c r="O197" s="60">
        <f t="shared" si="28"/>
        <v>0</v>
      </c>
      <c r="P197" s="51">
        <v>1</v>
      </c>
      <c r="Q197" s="60">
        <f t="shared" si="29"/>
        <v>2692.3</v>
      </c>
      <c r="R197" s="18">
        <f t="shared" si="32"/>
        <v>1</v>
      </c>
      <c r="S197" s="18">
        <f t="shared" si="32"/>
        <v>2692.3</v>
      </c>
    </row>
    <row r="198" spans="1:20" ht="17.25" thickBot="1" x14ac:dyDescent="0.3">
      <c r="A198" s="112"/>
      <c r="B198" s="112"/>
      <c r="C198" s="112"/>
      <c r="D198" s="112"/>
      <c r="E198" s="112"/>
      <c r="F198" s="112" t="s">
        <v>534</v>
      </c>
      <c r="G198" s="112"/>
      <c r="H198" s="112"/>
      <c r="I198" s="118">
        <f>SUM(I172:I197)</f>
        <v>4854753.5199999996</v>
      </c>
      <c r="J198" s="112"/>
      <c r="K198" s="119">
        <f>SUM(K172:K197)</f>
        <v>3600</v>
      </c>
      <c r="L198" s="112"/>
      <c r="M198" s="119">
        <f>SUM(M172:M197)</f>
        <v>312657.52999999997</v>
      </c>
      <c r="N198" s="112"/>
      <c r="O198" s="119">
        <f>SUM(O172:O197)</f>
        <v>743556.75</v>
      </c>
      <c r="P198" s="112"/>
      <c r="Q198" s="119">
        <f>SUM(Q172:Q197)</f>
        <v>1525103.26</v>
      </c>
      <c r="R198" s="112">
        <f t="shared" si="32"/>
        <v>0</v>
      </c>
      <c r="S198" s="119">
        <f t="shared" si="32"/>
        <v>2584917.5399999996</v>
      </c>
      <c r="T198" s="14">
        <f>Q198+O198+M198+K198</f>
        <v>2584917.5399999996</v>
      </c>
    </row>
    <row r="199" spans="1:20" ht="15.75" thickBot="1" x14ac:dyDescent="0.3"/>
    <row r="200" spans="1:20" ht="47.25" customHeight="1" thickBot="1" x14ac:dyDescent="0.3">
      <c r="B200" s="195"/>
      <c r="C200" s="195"/>
      <c r="D200" s="195"/>
      <c r="E200" s="195"/>
      <c r="F200" s="617" t="s">
        <v>535</v>
      </c>
      <c r="G200" s="618"/>
      <c r="H200" s="618"/>
      <c r="I200" s="618"/>
      <c r="J200" s="618"/>
      <c r="K200" s="618"/>
      <c r="L200" s="618"/>
      <c r="M200" s="618"/>
      <c r="N200" s="618"/>
      <c r="O200" s="618"/>
      <c r="P200" s="618"/>
      <c r="Q200" s="618"/>
      <c r="R200" s="584" t="s">
        <v>227</v>
      </c>
      <c r="S200" s="585"/>
    </row>
    <row r="201" spans="1:20" ht="50.25" customHeight="1" thickBot="1" x14ac:dyDescent="0.3">
      <c r="A201" s="89" t="s">
        <v>228</v>
      </c>
      <c r="B201" s="610" t="s">
        <v>536</v>
      </c>
      <c r="C201" s="622"/>
      <c r="D201" s="622"/>
      <c r="E201" s="125"/>
      <c r="F201" s="89" t="s">
        <v>85</v>
      </c>
      <c r="G201" s="89" t="s">
        <v>229</v>
      </c>
      <c r="H201" s="112" t="s">
        <v>123</v>
      </c>
      <c r="I201" s="118" t="s">
        <v>230</v>
      </c>
      <c r="J201" s="89">
        <v>2021</v>
      </c>
      <c r="K201" s="89" t="s">
        <v>79</v>
      </c>
      <c r="L201" s="89">
        <v>2022</v>
      </c>
      <c r="M201" s="89" t="s">
        <v>79</v>
      </c>
      <c r="N201" s="89">
        <v>2023</v>
      </c>
      <c r="O201" s="89" t="s">
        <v>79</v>
      </c>
      <c r="P201" s="89">
        <v>2025</v>
      </c>
      <c r="Q201" s="89" t="s">
        <v>79</v>
      </c>
      <c r="R201" s="89" t="s">
        <v>124</v>
      </c>
      <c r="S201" s="89" t="s">
        <v>77</v>
      </c>
    </row>
    <row r="202" spans="1:20" ht="42.75" customHeight="1" thickTop="1" thickBot="1" x14ac:dyDescent="0.3">
      <c r="A202" s="558" t="s">
        <v>535</v>
      </c>
      <c r="B202" s="612"/>
      <c r="C202" s="623"/>
      <c r="D202" s="623"/>
      <c r="E202" s="56" t="s">
        <v>168</v>
      </c>
      <c r="F202" s="48" t="s">
        <v>169</v>
      </c>
      <c r="G202" s="47">
        <v>8</v>
      </c>
      <c r="H202" s="72">
        <f>'TABLA GENERAL'!D227</f>
        <v>90850</v>
      </c>
      <c r="I202" s="114">
        <f>H202*G202</f>
        <v>726800</v>
      </c>
      <c r="J202" s="47">
        <v>3</v>
      </c>
      <c r="K202" s="60">
        <f t="shared" ref="K202:K211" si="33">J202*H202</f>
        <v>272550</v>
      </c>
      <c r="L202" s="47">
        <v>2</v>
      </c>
      <c r="M202" s="60">
        <f t="shared" ref="M202:M211" si="34">L202*H202</f>
        <v>181700</v>
      </c>
      <c r="N202" s="47">
        <v>0</v>
      </c>
      <c r="O202" s="60">
        <f t="shared" ref="O202:O211" si="35">N202*H202</f>
        <v>0</v>
      </c>
      <c r="P202" s="47">
        <v>0</v>
      </c>
      <c r="Q202" s="60">
        <f t="shared" ref="Q202:Q211" si="36">P202*H202</f>
        <v>0</v>
      </c>
      <c r="R202" s="18">
        <f t="shared" ref="R202:S212" si="37">P202+N202+L202+J202</f>
        <v>5</v>
      </c>
      <c r="S202" s="18">
        <f t="shared" si="37"/>
        <v>454250</v>
      </c>
    </row>
    <row r="203" spans="1:20" ht="43.5" customHeight="1" thickTop="1" thickBot="1" x14ac:dyDescent="0.3">
      <c r="A203" s="559" t="s">
        <v>535</v>
      </c>
      <c r="B203" s="612"/>
      <c r="C203" s="623"/>
      <c r="D203" s="623"/>
      <c r="E203" s="56" t="s">
        <v>171</v>
      </c>
      <c r="F203" s="32" t="s">
        <v>172</v>
      </c>
      <c r="G203" s="15">
        <v>9</v>
      </c>
      <c r="H203" s="72">
        <f>'TABLA GENERAL'!D228</f>
        <v>4932</v>
      </c>
      <c r="I203" s="114">
        <f t="shared" ref="I203:I211" si="38">H203*G203</f>
        <v>44388</v>
      </c>
      <c r="J203" s="15">
        <v>3</v>
      </c>
      <c r="K203" s="60">
        <f t="shared" si="33"/>
        <v>14796</v>
      </c>
      <c r="L203" s="15">
        <v>4</v>
      </c>
      <c r="M203" s="60">
        <f t="shared" si="34"/>
        <v>19728</v>
      </c>
      <c r="N203" s="15">
        <v>0</v>
      </c>
      <c r="O203" s="60">
        <f t="shared" si="35"/>
        <v>0</v>
      </c>
      <c r="P203" s="15">
        <v>0</v>
      </c>
      <c r="Q203" s="60">
        <f t="shared" si="36"/>
        <v>0</v>
      </c>
      <c r="R203" s="18">
        <f t="shared" si="37"/>
        <v>7</v>
      </c>
      <c r="S203" s="18">
        <f t="shared" si="37"/>
        <v>34524</v>
      </c>
    </row>
    <row r="204" spans="1:20" ht="31.5" customHeight="1" thickTop="1" thickBot="1" x14ac:dyDescent="0.3">
      <c r="A204" s="559" t="s">
        <v>535</v>
      </c>
      <c r="B204" s="612"/>
      <c r="C204" s="623"/>
      <c r="D204" s="623"/>
      <c r="E204" s="56" t="s">
        <v>173</v>
      </c>
      <c r="F204" s="32" t="s">
        <v>174</v>
      </c>
      <c r="G204" s="15">
        <v>18</v>
      </c>
      <c r="H204" s="72">
        <f>'TABLA GENERAL'!D229</f>
        <v>92</v>
      </c>
      <c r="I204" s="114">
        <f t="shared" si="38"/>
        <v>1656</v>
      </c>
      <c r="J204" s="15">
        <v>6</v>
      </c>
      <c r="K204" s="60">
        <f t="shared" si="33"/>
        <v>552</v>
      </c>
      <c r="L204" s="15">
        <v>8</v>
      </c>
      <c r="M204" s="60">
        <f t="shared" si="34"/>
        <v>736</v>
      </c>
      <c r="N204" s="15">
        <v>0</v>
      </c>
      <c r="O204" s="60">
        <f t="shared" si="35"/>
        <v>0</v>
      </c>
      <c r="P204" s="15">
        <v>0</v>
      </c>
      <c r="Q204" s="60">
        <f t="shared" si="36"/>
        <v>0</v>
      </c>
      <c r="R204" s="18">
        <f t="shared" si="37"/>
        <v>14</v>
      </c>
      <c r="S204" s="18">
        <f t="shared" si="37"/>
        <v>1288</v>
      </c>
    </row>
    <row r="205" spans="1:20" ht="25.5" customHeight="1" thickTop="1" thickBot="1" x14ac:dyDescent="0.3">
      <c r="A205" s="559" t="s">
        <v>535</v>
      </c>
      <c r="B205" s="612"/>
      <c r="C205" s="623"/>
      <c r="D205" s="623"/>
      <c r="E205" s="56" t="s">
        <v>176</v>
      </c>
      <c r="F205" s="32" t="s">
        <v>177</v>
      </c>
      <c r="G205" s="15">
        <v>9</v>
      </c>
      <c r="H205" s="72">
        <f>'TABLA GENERAL'!D230</f>
        <v>65</v>
      </c>
      <c r="I205" s="114">
        <f t="shared" si="38"/>
        <v>585</v>
      </c>
      <c r="J205" s="15">
        <v>3</v>
      </c>
      <c r="K205" s="60">
        <f t="shared" si="33"/>
        <v>195</v>
      </c>
      <c r="L205" s="15">
        <v>4</v>
      </c>
      <c r="M205" s="60">
        <f t="shared" si="34"/>
        <v>260</v>
      </c>
      <c r="N205" s="15">
        <v>0</v>
      </c>
      <c r="O205" s="60">
        <f t="shared" si="35"/>
        <v>0</v>
      </c>
      <c r="P205" s="15">
        <v>0</v>
      </c>
      <c r="Q205" s="60">
        <f t="shared" si="36"/>
        <v>0</v>
      </c>
      <c r="R205" s="18">
        <f t="shared" si="37"/>
        <v>7</v>
      </c>
      <c r="S205" s="18">
        <f t="shared" si="37"/>
        <v>455</v>
      </c>
    </row>
    <row r="206" spans="1:20" ht="30" customHeight="1" thickTop="1" thickBot="1" x14ac:dyDescent="0.3">
      <c r="A206" s="559" t="s">
        <v>535</v>
      </c>
      <c r="B206" s="612"/>
      <c r="C206" s="623"/>
      <c r="D206" s="623"/>
      <c r="E206" s="56" t="s">
        <v>537</v>
      </c>
      <c r="F206" s="32" t="s">
        <v>538</v>
      </c>
      <c r="G206" s="15">
        <v>9</v>
      </c>
      <c r="H206" s="72">
        <f>'TABLA GENERAL'!D231</f>
        <v>2750</v>
      </c>
      <c r="I206" s="114">
        <f t="shared" si="38"/>
        <v>24750</v>
      </c>
      <c r="J206" s="15">
        <v>3</v>
      </c>
      <c r="K206" s="60">
        <f t="shared" si="33"/>
        <v>8250</v>
      </c>
      <c r="L206" s="15">
        <v>4</v>
      </c>
      <c r="M206" s="60">
        <f t="shared" si="34"/>
        <v>11000</v>
      </c>
      <c r="N206" s="15">
        <v>0</v>
      </c>
      <c r="O206" s="60">
        <f t="shared" si="35"/>
        <v>0</v>
      </c>
      <c r="P206" s="15">
        <v>0</v>
      </c>
      <c r="Q206" s="60">
        <f t="shared" si="36"/>
        <v>0</v>
      </c>
      <c r="R206" s="18">
        <f t="shared" si="37"/>
        <v>7</v>
      </c>
      <c r="S206" s="18">
        <f t="shared" si="37"/>
        <v>19250</v>
      </c>
    </row>
    <row r="207" spans="1:20" ht="40.5" customHeight="1" thickTop="1" thickBot="1" x14ac:dyDescent="0.3">
      <c r="A207" s="559" t="s">
        <v>535</v>
      </c>
      <c r="B207" s="612"/>
      <c r="C207" s="623"/>
      <c r="D207" s="623"/>
      <c r="E207" s="56" t="s">
        <v>539</v>
      </c>
      <c r="F207" s="32" t="s">
        <v>540</v>
      </c>
      <c r="G207" s="15">
        <v>9</v>
      </c>
      <c r="H207" s="72">
        <f>'TABLA GENERAL'!D232</f>
        <v>1240</v>
      </c>
      <c r="I207" s="114">
        <f t="shared" si="38"/>
        <v>11160</v>
      </c>
      <c r="J207" s="15">
        <v>3</v>
      </c>
      <c r="K207" s="60">
        <f t="shared" si="33"/>
        <v>3720</v>
      </c>
      <c r="L207" s="15">
        <v>4</v>
      </c>
      <c r="M207" s="60">
        <f t="shared" si="34"/>
        <v>4960</v>
      </c>
      <c r="N207" s="15">
        <v>0</v>
      </c>
      <c r="O207" s="60">
        <f t="shared" si="35"/>
        <v>0</v>
      </c>
      <c r="P207" s="15">
        <v>0</v>
      </c>
      <c r="Q207" s="60">
        <f t="shared" si="36"/>
        <v>0</v>
      </c>
      <c r="R207" s="18">
        <f t="shared" si="37"/>
        <v>7</v>
      </c>
      <c r="S207" s="18">
        <f t="shared" si="37"/>
        <v>8680</v>
      </c>
    </row>
    <row r="208" spans="1:20" ht="24.75" customHeight="1" thickTop="1" thickBot="1" x14ac:dyDescent="0.3">
      <c r="A208" s="559" t="s">
        <v>535</v>
      </c>
      <c r="B208" s="612"/>
      <c r="C208" s="623"/>
      <c r="D208" s="623"/>
      <c r="E208" s="56" t="s">
        <v>541</v>
      </c>
      <c r="F208" s="32" t="s">
        <v>542</v>
      </c>
      <c r="G208" s="15">
        <v>9</v>
      </c>
      <c r="H208" s="72">
        <f>'TABLA GENERAL'!D233</f>
        <v>62</v>
      </c>
      <c r="I208" s="114">
        <f t="shared" si="38"/>
        <v>558</v>
      </c>
      <c r="J208" s="15">
        <v>3</v>
      </c>
      <c r="K208" s="60">
        <f t="shared" si="33"/>
        <v>186</v>
      </c>
      <c r="L208" s="15">
        <v>4</v>
      </c>
      <c r="M208" s="60">
        <f t="shared" si="34"/>
        <v>248</v>
      </c>
      <c r="N208" s="15">
        <v>0</v>
      </c>
      <c r="O208" s="60">
        <f t="shared" si="35"/>
        <v>0</v>
      </c>
      <c r="P208" s="15">
        <v>0</v>
      </c>
      <c r="Q208" s="60">
        <f t="shared" si="36"/>
        <v>0</v>
      </c>
      <c r="R208" s="18">
        <f t="shared" si="37"/>
        <v>7</v>
      </c>
      <c r="S208" s="18">
        <f t="shared" si="37"/>
        <v>434</v>
      </c>
    </row>
    <row r="209" spans="1:20" ht="27" customHeight="1" thickTop="1" thickBot="1" x14ac:dyDescent="0.3">
      <c r="A209" s="559" t="s">
        <v>535</v>
      </c>
      <c r="B209" s="612"/>
      <c r="C209" s="623"/>
      <c r="D209" s="623"/>
      <c r="E209" s="56" t="s">
        <v>543</v>
      </c>
      <c r="F209" s="32" t="s">
        <v>544</v>
      </c>
      <c r="G209" s="15">
        <v>9</v>
      </c>
      <c r="H209" s="72">
        <f>'TABLA GENERAL'!D234</f>
        <v>65</v>
      </c>
      <c r="I209" s="114">
        <f t="shared" si="38"/>
        <v>585</v>
      </c>
      <c r="J209" s="15">
        <v>3</v>
      </c>
      <c r="K209" s="60">
        <f t="shared" si="33"/>
        <v>195</v>
      </c>
      <c r="L209" s="15">
        <v>4</v>
      </c>
      <c r="M209" s="60">
        <f t="shared" si="34"/>
        <v>260</v>
      </c>
      <c r="N209" s="15">
        <v>0</v>
      </c>
      <c r="O209" s="60">
        <f t="shared" si="35"/>
        <v>0</v>
      </c>
      <c r="P209" s="15">
        <v>0</v>
      </c>
      <c r="Q209" s="60">
        <f t="shared" si="36"/>
        <v>0</v>
      </c>
      <c r="R209" s="18">
        <f t="shared" si="37"/>
        <v>7</v>
      </c>
      <c r="S209" s="18">
        <f t="shared" si="37"/>
        <v>455</v>
      </c>
    </row>
    <row r="210" spans="1:20" ht="33.75" customHeight="1" thickTop="1" thickBot="1" x14ac:dyDescent="0.3">
      <c r="A210" s="559" t="s">
        <v>535</v>
      </c>
      <c r="B210" s="612"/>
      <c r="C210" s="623"/>
      <c r="D210" s="623"/>
      <c r="E210" s="56" t="s">
        <v>545</v>
      </c>
      <c r="F210" s="32" t="s">
        <v>546</v>
      </c>
      <c r="G210" s="15">
        <v>9</v>
      </c>
      <c r="H210" s="72">
        <f>'TABLA GENERAL'!D235</f>
        <v>500</v>
      </c>
      <c r="I210" s="114">
        <f t="shared" si="38"/>
        <v>4500</v>
      </c>
      <c r="J210" s="15">
        <v>3</v>
      </c>
      <c r="K210" s="60">
        <f t="shared" si="33"/>
        <v>1500</v>
      </c>
      <c r="L210" s="15">
        <v>4</v>
      </c>
      <c r="M210" s="60">
        <f t="shared" si="34"/>
        <v>2000</v>
      </c>
      <c r="N210" s="15">
        <v>0</v>
      </c>
      <c r="O210" s="60">
        <f t="shared" si="35"/>
        <v>0</v>
      </c>
      <c r="P210" s="15">
        <v>0</v>
      </c>
      <c r="Q210" s="60">
        <f t="shared" si="36"/>
        <v>0</v>
      </c>
      <c r="R210" s="18">
        <f t="shared" si="37"/>
        <v>7</v>
      </c>
      <c r="S210" s="18">
        <f t="shared" si="37"/>
        <v>3500</v>
      </c>
    </row>
    <row r="211" spans="1:20" ht="30" customHeight="1" thickTop="1" thickBot="1" x14ac:dyDescent="0.3">
      <c r="A211" s="560" t="s">
        <v>535</v>
      </c>
      <c r="B211" s="126"/>
      <c r="C211" s="127"/>
      <c r="D211" s="127"/>
      <c r="E211" s="56" t="s">
        <v>547</v>
      </c>
      <c r="F211" s="57" t="s">
        <v>548</v>
      </c>
      <c r="G211" s="51">
        <v>9</v>
      </c>
      <c r="H211" s="72">
        <f>'TABLA GENERAL'!D236</f>
        <v>218</v>
      </c>
      <c r="I211" s="114">
        <f t="shared" si="38"/>
        <v>1962</v>
      </c>
      <c r="J211" s="15">
        <v>3</v>
      </c>
      <c r="K211" s="60">
        <f t="shared" si="33"/>
        <v>654</v>
      </c>
      <c r="L211" s="51">
        <v>4</v>
      </c>
      <c r="M211" s="60">
        <f t="shared" si="34"/>
        <v>872</v>
      </c>
      <c r="N211" s="51">
        <v>0</v>
      </c>
      <c r="O211" s="60">
        <f t="shared" si="35"/>
        <v>0</v>
      </c>
      <c r="P211" s="51">
        <v>0</v>
      </c>
      <c r="Q211" s="60">
        <f t="shared" si="36"/>
        <v>0</v>
      </c>
      <c r="R211" s="18">
        <f t="shared" si="37"/>
        <v>7</v>
      </c>
      <c r="S211" s="18">
        <f t="shared" si="37"/>
        <v>1526</v>
      </c>
    </row>
    <row r="212" spans="1:20" ht="17.25" thickBot="1" x14ac:dyDescent="0.3">
      <c r="A212" s="112"/>
      <c r="B212" s="112"/>
      <c r="C212" s="112"/>
      <c r="D212" s="112"/>
      <c r="E212" s="112"/>
      <c r="F212" s="112" t="s">
        <v>549</v>
      </c>
      <c r="G212" s="112"/>
      <c r="H212" s="112"/>
      <c r="I212" s="118">
        <f>SUM(I202:I211)</f>
        <v>816944</v>
      </c>
      <c r="J212" s="112"/>
      <c r="K212" s="119">
        <f>SUM(K202:K211)</f>
        <v>302598</v>
      </c>
      <c r="L212" s="112"/>
      <c r="M212" s="119">
        <f>SUM(M202:M211)</f>
        <v>221764</v>
      </c>
      <c r="N212" s="112"/>
      <c r="O212" s="119">
        <f>SUM(O202:O211)</f>
        <v>0</v>
      </c>
      <c r="P212" s="112"/>
      <c r="Q212" s="119">
        <f>SUM(Q202:Q211)</f>
        <v>0</v>
      </c>
      <c r="R212" s="112">
        <f t="shared" si="37"/>
        <v>0</v>
      </c>
      <c r="S212" s="119">
        <f>Q212+O212+M212+K212</f>
        <v>524362</v>
      </c>
      <c r="T212" s="14">
        <f>Q212+O212+M212+K212</f>
        <v>524362</v>
      </c>
    </row>
    <row r="213" spans="1:20" ht="15.75" thickBot="1" x14ac:dyDescent="0.3"/>
    <row r="214" spans="1:20" ht="47.25" customHeight="1" thickBot="1" x14ac:dyDescent="0.3">
      <c r="B214" s="195"/>
      <c r="C214" s="195"/>
      <c r="D214" s="195"/>
      <c r="E214" s="195"/>
      <c r="F214" s="617" t="s">
        <v>550</v>
      </c>
      <c r="G214" s="618"/>
      <c r="H214" s="618"/>
      <c r="I214" s="618"/>
      <c r="J214" s="618"/>
      <c r="K214" s="618"/>
      <c r="L214" s="618"/>
      <c r="M214" s="618"/>
      <c r="N214" s="618"/>
      <c r="O214" s="618"/>
      <c r="P214" s="618"/>
      <c r="Q214" s="618"/>
      <c r="R214" s="584" t="s">
        <v>227</v>
      </c>
      <c r="S214" s="585"/>
    </row>
    <row r="215" spans="1:20" ht="50.25" customHeight="1" thickBot="1" x14ac:dyDescent="0.3">
      <c r="A215" s="89" t="s">
        <v>228</v>
      </c>
      <c r="B215" s="597" t="s">
        <v>551</v>
      </c>
      <c r="C215" s="555"/>
      <c r="D215" s="555"/>
      <c r="E215" s="56"/>
      <c r="F215" s="89" t="s">
        <v>85</v>
      </c>
      <c r="G215" s="89" t="s">
        <v>229</v>
      </c>
      <c r="H215" s="112" t="s">
        <v>123</v>
      </c>
      <c r="I215" s="118" t="s">
        <v>230</v>
      </c>
      <c r="J215" s="89">
        <v>2021</v>
      </c>
      <c r="K215" s="89" t="s">
        <v>79</v>
      </c>
      <c r="L215" s="89">
        <v>2022</v>
      </c>
      <c r="M215" s="89" t="s">
        <v>79</v>
      </c>
      <c r="N215" s="89">
        <v>2023</v>
      </c>
      <c r="O215" s="89" t="s">
        <v>79</v>
      </c>
      <c r="P215" s="89">
        <v>2025</v>
      </c>
      <c r="Q215" s="89" t="s">
        <v>79</v>
      </c>
      <c r="R215" s="89" t="s">
        <v>124</v>
      </c>
      <c r="S215" s="89" t="s">
        <v>77</v>
      </c>
    </row>
    <row r="216" spans="1:20" ht="33.75" thickBot="1" x14ac:dyDescent="0.3">
      <c r="A216" s="112" t="s">
        <v>552</v>
      </c>
      <c r="B216" s="604"/>
      <c r="C216" s="605"/>
      <c r="D216" s="605"/>
      <c r="E216" s="56" t="s">
        <v>181</v>
      </c>
      <c r="F216" s="93" t="s">
        <v>182</v>
      </c>
      <c r="G216" s="128">
        <v>30</v>
      </c>
      <c r="H216" s="94">
        <f>'TABLA GENERAL'!D241</f>
        <v>1000</v>
      </c>
      <c r="I216" s="129">
        <f>+H216*G216</f>
        <v>30000</v>
      </c>
      <c r="J216" s="95">
        <v>0</v>
      </c>
      <c r="K216" s="60">
        <f t="shared" ref="K216" si="39">J216*H216</f>
        <v>0</v>
      </c>
      <c r="L216" s="95">
        <v>0</v>
      </c>
      <c r="M216" s="60">
        <f t="shared" ref="M216" si="40">L216*H216</f>
        <v>0</v>
      </c>
      <c r="N216" s="95"/>
      <c r="O216" s="60">
        <f t="shared" ref="O216" si="41">N216*H216</f>
        <v>0</v>
      </c>
      <c r="P216" s="95">
        <v>5</v>
      </c>
      <c r="Q216" s="60">
        <f t="shared" ref="Q216" si="42">P216*H216</f>
        <v>5000</v>
      </c>
      <c r="R216">
        <f t="shared" ref="R216:S217" si="43">P216+N216+L216+J216</f>
        <v>5</v>
      </c>
      <c r="S216">
        <f t="shared" si="43"/>
        <v>5000</v>
      </c>
    </row>
    <row r="217" spans="1:20" ht="17.25" thickBot="1" x14ac:dyDescent="0.3">
      <c r="A217" s="112"/>
      <c r="B217" s="607"/>
      <c r="C217" s="608"/>
      <c r="D217" s="608"/>
      <c r="E217" s="56"/>
      <c r="F217" s="112" t="s">
        <v>553</v>
      </c>
      <c r="G217" s="112"/>
      <c r="H217" s="112"/>
      <c r="I217" s="118">
        <f>+I216</f>
        <v>30000</v>
      </c>
      <c r="J217" s="112"/>
      <c r="K217" s="119">
        <f>SUM(K216)</f>
        <v>0</v>
      </c>
      <c r="L217" s="112"/>
      <c r="M217" s="119">
        <f>SUM(M216)</f>
        <v>0</v>
      </c>
      <c r="N217" s="112"/>
      <c r="O217" s="119">
        <f>SUM(O216)</f>
        <v>0</v>
      </c>
      <c r="P217" s="112"/>
      <c r="Q217" s="119">
        <f>SUM(Q216)</f>
        <v>5000</v>
      </c>
      <c r="R217" s="112">
        <f t="shared" si="43"/>
        <v>0</v>
      </c>
      <c r="S217" s="119">
        <f>Q217+O217+M217+K217</f>
        <v>5000</v>
      </c>
      <c r="T217" s="14">
        <f>Q217+O217+M217+K217</f>
        <v>5000</v>
      </c>
    </row>
    <row r="218" spans="1:20" ht="15.75" thickBot="1" x14ac:dyDescent="0.3"/>
    <row r="219" spans="1:20" ht="47.25" customHeight="1" thickBot="1" x14ac:dyDescent="0.3">
      <c r="B219" s="195"/>
      <c r="C219" s="195"/>
      <c r="D219" s="195"/>
      <c r="E219" s="195"/>
      <c r="F219" s="617" t="s">
        <v>554</v>
      </c>
      <c r="G219" s="618"/>
      <c r="H219" s="618"/>
      <c r="I219" s="618"/>
      <c r="J219" s="618"/>
      <c r="K219" s="618"/>
      <c r="L219" s="618"/>
      <c r="M219" s="618"/>
      <c r="N219" s="618"/>
      <c r="O219" s="618"/>
      <c r="P219" s="618"/>
      <c r="Q219" s="618"/>
      <c r="R219" s="584" t="s">
        <v>227</v>
      </c>
      <c r="S219" s="585"/>
    </row>
    <row r="220" spans="1:20" ht="50.25" customHeight="1" thickBot="1" x14ac:dyDescent="0.3">
      <c r="A220" s="89" t="s">
        <v>228</v>
      </c>
      <c r="B220" s="586" t="s">
        <v>555</v>
      </c>
      <c r="C220" s="587"/>
      <c r="D220" s="587"/>
      <c r="E220" s="130"/>
      <c r="F220" s="89" t="s">
        <v>85</v>
      </c>
      <c r="G220" s="89" t="s">
        <v>229</v>
      </c>
      <c r="H220" s="89" t="s">
        <v>123</v>
      </c>
      <c r="I220" s="113" t="s">
        <v>556</v>
      </c>
      <c r="J220" s="89">
        <v>2021</v>
      </c>
      <c r="K220" s="89" t="s">
        <v>79</v>
      </c>
      <c r="L220" s="89">
        <v>2022</v>
      </c>
      <c r="M220" s="89" t="s">
        <v>79</v>
      </c>
      <c r="N220" s="89">
        <v>2023</v>
      </c>
      <c r="O220" s="89" t="s">
        <v>79</v>
      </c>
      <c r="P220" s="89">
        <v>2025</v>
      </c>
      <c r="Q220" s="89" t="s">
        <v>79</v>
      </c>
      <c r="R220" s="89" t="s">
        <v>124</v>
      </c>
      <c r="S220" s="89" t="s">
        <v>77</v>
      </c>
    </row>
    <row r="221" spans="1:20" ht="16.5" customHeight="1" thickTop="1" thickBot="1" x14ac:dyDescent="0.3">
      <c r="A221" s="553" t="s">
        <v>554</v>
      </c>
      <c r="B221" s="616"/>
      <c r="C221" s="624"/>
      <c r="D221" s="624"/>
      <c r="E221" s="56" t="s">
        <v>187</v>
      </c>
      <c r="F221" s="48" t="s">
        <v>188</v>
      </c>
      <c r="G221" s="47">
        <v>9</v>
      </c>
      <c r="H221" s="72">
        <f>'TABLA GENERAL'!D246</f>
        <v>2856</v>
      </c>
      <c r="I221" s="114">
        <f>+G221*H221</f>
        <v>25704</v>
      </c>
      <c r="J221" s="47">
        <v>0</v>
      </c>
      <c r="K221" s="60">
        <f t="shared" ref="K221:K231" si="44">J221*H221</f>
        <v>0</v>
      </c>
      <c r="L221" s="47">
        <v>4</v>
      </c>
      <c r="M221" s="60">
        <f t="shared" ref="M221:M231" si="45">L221*H221</f>
        <v>11424</v>
      </c>
      <c r="N221" s="47">
        <v>0</v>
      </c>
      <c r="O221" s="60">
        <f t="shared" ref="O221:O231" si="46">N221*L221</f>
        <v>0</v>
      </c>
      <c r="P221" s="47">
        <v>0</v>
      </c>
      <c r="Q221" s="60">
        <f t="shared" ref="Q221:Q231" si="47">P221*H221</f>
        <v>0</v>
      </c>
      <c r="R221" s="18">
        <f t="shared" ref="R221:S232" si="48">P221+N221+L221+J221</f>
        <v>4</v>
      </c>
      <c r="S221" s="18">
        <f t="shared" si="48"/>
        <v>11424</v>
      </c>
    </row>
    <row r="222" spans="1:20" ht="16.5" customHeight="1" thickTop="1" thickBot="1" x14ac:dyDescent="0.3">
      <c r="A222" s="554"/>
      <c r="B222" s="616"/>
      <c r="C222" s="624"/>
      <c r="D222" s="624"/>
      <c r="E222" s="56" t="s">
        <v>557</v>
      </c>
      <c r="F222" s="32" t="s">
        <v>558</v>
      </c>
      <c r="G222" s="15">
        <v>9</v>
      </c>
      <c r="H222" s="72">
        <f>'TABLA GENERAL'!D247</f>
        <v>458.39</v>
      </c>
      <c r="I222" s="114">
        <f t="shared" ref="I222:I231" si="49">+G222*H222</f>
        <v>4125.51</v>
      </c>
      <c r="J222" s="47">
        <v>0</v>
      </c>
      <c r="K222" s="60">
        <f t="shared" si="44"/>
        <v>0</v>
      </c>
      <c r="L222" s="15">
        <v>4</v>
      </c>
      <c r="M222" s="60">
        <f t="shared" si="45"/>
        <v>1833.56</v>
      </c>
      <c r="N222" s="15">
        <v>0</v>
      </c>
      <c r="O222" s="60">
        <f t="shared" si="46"/>
        <v>0</v>
      </c>
      <c r="P222" s="15">
        <v>0</v>
      </c>
      <c r="Q222" s="60">
        <f t="shared" si="47"/>
        <v>0</v>
      </c>
      <c r="R222" s="18">
        <f t="shared" si="48"/>
        <v>4</v>
      </c>
      <c r="S222" s="18">
        <f t="shared" si="48"/>
        <v>1833.56</v>
      </c>
    </row>
    <row r="223" spans="1:20" ht="16.5" customHeight="1" thickTop="1" thickBot="1" x14ac:dyDescent="0.3">
      <c r="A223" s="554"/>
      <c r="B223" s="616"/>
      <c r="C223" s="624"/>
      <c r="D223" s="624"/>
      <c r="E223" s="56" t="s">
        <v>559</v>
      </c>
      <c r="F223" s="32" t="s">
        <v>560</v>
      </c>
      <c r="G223" s="15">
        <v>9</v>
      </c>
      <c r="H223" s="72">
        <f>'TABLA GENERAL'!D248</f>
        <v>2562</v>
      </c>
      <c r="I223" s="114">
        <f t="shared" si="49"/>
        <v>23058</v>
      </c>
      <c r="J223" s="47">
        <v>0</v>
      </c>
      <c r="K223" s="60">
        <f t="shared" si="44"/>
        <v>0</v>
      </c>
      <c r="L223" s="15">
        <v>4</v>
      </c>
      <c r="M223" s="60">
        <f t="shared" si="45"/>
        <v>10248</v>
      </c>
      <c r="N223" s="15">
        <v>0</v>
      </c>
      <c r="O223" s="60">
        <f t="shared" si="46"/>
        <v>0</v>
      </c>
      <c r="P223" s="15">
        <v>0</v>
      </c>
      <c r="Q223" s="60">
        <f t="shared" si="47"/>
        <v>0</v>
      </c>
      <c r="R223" s="18">
        <f t="shared" si="48"/>
        <v>4</v>
      </c>
      <c r="S223" s="18">
        <f t="shared" si="48"/>
        <v>10248</v>
      </c>
    </row>
    <row r="224" spans="1:20" ht="16.5" customHeight="1" thickTop="1" thickBot="1" x14ac:dyDescent="0.3">
      <c r="A224" s="554"/>
      <c r="B224" s="616"/>
      <c r="C224" s="624"/>
      <c r="D224" s="624"/>
      <c r="E224" s="56" t="s">
        <v>190</v>
      </c>
      <c r="F224" s="32" t="s">
        <v>191</v>
      </c>
      <c r="G224" s="15">
        <v>5</v>
      </c>
      <c r="H224" s="72">
        <f>'TABLA GENERAL'!D249</f>
        <v>9040</v>
      </c>
      <c r="I224" s="114">
        <f t="shared" si="49"/>
        <v>45200</v>
      </c>
      <c r="J224" s="47">
        <v>0</v>
      </c>
      <c r="K224" s="60">
        <f t="shared" si="44"/>
        <v>0</v>
      </c>
      <c r="L224" s="15">
        <v>5</v>
      </c>
      <c r="M224" s="60">
        <f t="shared" si="45"/>
        <v>45200</v>
      </c>
      <c r="N224" s="15">
        <v>0</v>
      </c>
      <c r="O224" s="60">
        <f t="shared" si="46"/>
        <v>0</v>
      </c>
      <c r="P224" s="15">
        <v>0</v>
      </c>
      <c r="Q224" s="60">
        <f t="shared" si="47"/>
        <v>0</v>
      </c>
      <c r="R224" s="18">
        <f t="shared" si="48"/>
        <v>5</v>
      </c>
      <c r="S224" s="18">
        <f t="shared" si="48"/>
        <v>45200</v>
      </c>
      <c r="T224">
        <v>5</v>
      </c>
    </row>
    <row r="225" spans="1:20" ht="16.5" customHeight="1" thickTop="1" thickBot="1" x14ac:dyDescent="0.3">
      <c r="A225" s="554"/>
      <c r="B225" s="616"/>
      <c r="C225" s="624"/>
      <c r="D225" s="624"/>
      <c r="E225" s="56" t="s">
        <v>561</v>
      </c>
      <c r="F225" s="32" t="s">
        <v>562</v>
      </c>
      <c r="G225" s="15">
        <v>9</v>
      </c>
      <c r="H225" s="72">
        <f>'TABLA GENERAL'!D250</f>
        <v>709</v>
      </c>
      <c r="I225" s="114">
        <f t="shared" si="49"/>
        <v>6381</v>
      </c>
      <c r="J225" s="47">
        <v>0</v>
      </c>
      <c r="K225" s="60">
        <f t="shared" si="44"/>
        <v>0</v>
      </c>
      <c r="L225" s="15">
        <v>4</v>
      </c>
      <c r="M225" s="60">
        <f t="shared" si="45"/>
        <v>2836</v>
      </c>
      <c r="N225" s="15">
        <v>0</v>
      </c>
      <c r="O225" s="60">
        <f t="shared" si="46"/>
        <v>0</v>
      </c>
      <c r="P225" s="15">
        <v>0</v>
      </c>
      <c r="Q225" s="60">
        <f t="shared" si="47"/>
        <v>0</v>
      </c>
      <c r="R225" s="18">
        <f t="shared" si="48"/>
        <v>4</v>
      </c>
      <c r="S225" s="18">
        <f t="shared" si="48"/>
        <v>2836</v>
      </c>
    </row>
    <row r="226" spans="1:20" ht="31.5" thickTop="1" thickBot="1" x14ac:dyDescent="0.3">
      <c r="A226" s="554"/>
      <c r="B226" s="616"/>
      <c r="C226" s="624"/>
      <c r="D226" s="624"/>
      <c r="E226" s="56" t="s">
        <v>563</v>
      </c>
      <c r="F226" s="32" t="s">
        <v>564</v>
      </c>
      <c r="G226" s="15">
        <v>9</v>
      </c>
      <c r="H226" s="72">
        <f>'TABLA GENERAL'!D251</f>
        <v>164</v>
      </c>
      <c r="I226" s="114">
        <f t="shared" si="49"/>
        <v>1476</v>
      </c>
      <c r="J226" s="47">
        <v>0</v>
      </c>
      <c r="K226" s="60">
        <f t="shared" si="44"/>
        <v>0</v>
      </c>
      <c r="L226" s="15">
        <v>4</v>
      </c>
      <c r="M226" s="60">
        <f t="shared" si="45"/>
        <v>656</v>
      </c>
      <c r="N226" s="15">
        <v>0</v>
      </c>
      <c r="O226" s="60">
        <f t="shared" si="46"/>
        <v>0</v>
      </c>
      <c r="P226" s="15">
        <v>0</v>
      </c>
      <c r="Q226" s="60">
        <f t="shared" si="47"/>
        <v>0</v>
      </c>
      <c r="R226" s="18">
        <f t="shared" si="48"/>
        <v>4</v>
      </c>
      <c r="S226" s="18">
        <f t="shared" si="48"/>
        <v>656</v>
      </c>
    </row>
    <row r="227" spans="1:20" ht="16.5" customHeight="1" thickTop="1" thickBot="1" x14ac:dyDescent="0.3">
      <c r="A227" s="554"/>
      <c r="B227" s="616"/>
      <c r="C227" s="624"/>
      <c r="D227" s="624"/>
      <c r="E227" s="56" t="s">
        <v>192</v>
      </c>
      <c r="F227" s="32" t="s">
        <v>193</v>
      </c>
      <c r="G227" s="15">
        <v>1</v>
      </c>
      <c r="H227" s="72">
        <f>'TABLA GENERAL'!D252</f>
        <v>12000</v>
      </c>
      <c r="I227" s="114">
        <f t="shared" si="49"/>
        <v>12000</v>
      </c>
      <c r="J227" s="47">
        <v>0</v>
      </c>
      <c r="K227" s="60">
        <f t="shared" si="44"/>
        <v>0</v>
      </c>
      <c r="L227" s="15">
        <v>1</v>
      </c>
      <c r="M227" s="60">
        <f t="shared" si="45"/>
        <v>12000</v>
      </c>
      <c r="N227" s="15">
        <v>0</v>
      </c>
      <c r="O227" s="60">
        <f t="shared" si="46"/>
        <v>0</v>
      </c>
      <c r="P227" s="15">
        <v>0</v>
      </c>
      <c r="Q227" s="60">
        <f t="shared" si="47"/>
        <v>0</v>
      </c>
      <c r="R227" s="18">
        <f t="shared" si="48"/>
        <v>1</v>
      </c>
      <c r="S227" s="18">
        <f t="shared" si="48"/>
        <v>12000</v>
      </c>
    </row>
    <row r="228" spans="1:20" ht="16.5" customHeight="1" thickTop="1" thickBot="1" x14ac:dyDescent="0.3">
      <c r="A228" s="554"/>
      <c r="B228" s="616"/>
      <c r="C228" s="624"/>
      <c r="D228" s="624"/>
      <c r="E228" s="56" t="s">
        <v>565</v>
      </c>
      <c r="F228" s="32" t="s">
        <v>566</v>
      </c>
      <c r="G228" s="15">
        <v>23</v>
      </c>
      <c r="H228" s="72">
        <f>'TABLA GENERAL'!D253</f>
        <v>70</v>
      </c>
      <c r="I228" s="114">
        <f t="shared" si="49"/>
        <v>1610</v>
      </c>
      <c r="J228" s="47">
        <v>0</v>
      </c>
      <c r="K228" s="60">
        <f t="shared" si="44"/>
        <v>0</v>
      </c>
      <c r="L228" s="15">
        <v>10</v>
      </c>
      <c r="M228" s="60">
        <f t="shared" si="45"/>
        <v>700</v>
      </c>
      <c r="N228" s="15">
        <v>0</v>
      </c>
      <c r="O228" s="60">
        <f t="shared" si="46"/>
        <v>0</v>
      </c>
      <c r="P228" s="15">
        <v>0</v>
      </c>
      <c r="Q228" s="60">
        <f t="shared" si="47"/>
        <v>0</v>
      </c>
      <c r="R228" s="18">
        <f t="shared" si="48"/>
        <v>10</v>
      </c>
      <c r="S228" s="18">
        <f t="shared" si="48"/>
        <v>700</v>
      </c>
    </row>
    <row r="229" spans="1:20" ht="16.5" customHeight="1" thickTop="1" thickBot="1" x14ac:dyDescent="0.3">
      <c r="A229" s="554"/>
      <c r="B229" s="616"/>
      <c r="C229" s="624"/>
      <c r="D229" s="624"/>
      <c r="E229" s="56" t="s">
        <v>567</v>
      </c>
      <c r="F229" s="32" t="s">
        <v>568</v>
      </c>
      <c r="G229" s="15">
        <v>7</v>
      </c>
      <c r="H229" s="72">
        <f>'TABLA GENERAL'!D254</f>
        <v>2900</v>
      </c>
      <c r="I229" s="114">
        <f t="shared" si="49"/>
        <v>20300</v>
      </c>
      <c r="J229" s="47">
        <v>0</v>
      </c>
      <c r="K229" s="60">
        <f t="shared" si="44"/>
        <v>0</v>
      </c>
      <c r="L229" s="15">
        <v>7</v>
      </c>
      <c r="M229" s="60">
        <f t="shared" si="45"/>
        <v>20300</v>
      </c>
      <c r="N229" s="15">
        <v>0</v>
      </c>
      <c r="O229" s="60">
        <f t="shared" si="46"/>
        <v>0</v>
      </c>
      <c r="P229" s="15">
        <v>0</v>
      </c>
      <c r="Q229" s="60">
        <f t="shared" si="47"/>
        <v>0</v>
      </c>
      <c r="R229" s="18">
        <f t="shared" si="48"/>
        <v>7</v>
      </c>
      <c r="S229" s="18">
        <f t="shared" si="48"/>
        <v>20300</v>
      </c>
    </row>
    <row r="230" spans="1:20" ht="16.5" customHeight="1" thickTop="1" thickBot="1" x14ac:dyDescent="0.3">
      <c r="A230" s="554"/>
      <c r="B230" s="616"/>
      <c r="C230" s="624"/>
      <c r="D230" s="624"/>
      <c r="E230" s="56" t="s">
        <v>194</v>
      </c>
      <c r="F230" s="32" t="s">
        <v>195</v>
      </c>
      <c r="G230" s="15">
        <v>10</v>
      </c>
      <c r="H230" s="72">
        <f>'TABLA GENERAL'!D255</f>
        <v>1300</v>
      </c>
      <c r="I230" s="114">
        <f t="shared" si="49"/>
        <v>13000</v>
      </c>
      <c r="J230" s="47">
        <v>4</v>
      </c>
      <c r="K230" s="60">
        <f t="shared" si="44"/>
        <v>5200</v>
      </c>
      <c r="L230" s="15">
        <v>0</v>
      </c>
      <c r="M230" s="60">
        <f t="shared" si="45"/>
        <v>0</v>
      </c>
      <c r="N230" s="15">
        <v>0</v>
      </c>
      <c r="O230" s="60">
        <f t="shared" si="46"/>
        <v>0</v>
      </c>
      <c r="P230" s="15">
        <v>0</v>
      </c>
      <c r="Q230" s="60">
        <f t="shared" si="47"/>
        <v>0</v>
      </c>
      <c r="R230" s="18">
        <f t="shared" si="48"/>
        <v>4</v>
      </c>
      <c r="S230" s="18">
        <f t="shared" si="48"/>
        <v>5200</v>
      </c>
      <c r="T230">
        <v>4</v>
      </c>
    </row>
    <row r="231" spans="1:20" ht="31.5" thickTop="1" thickBot="1" x14ac:dyDescent="0.3">
      <c r="A231" s="561"/>
      <c r="B231" s="589"/>
      <c r="C231" s="590"/>
      <c r="D231" s="590"/>
      <c r="E231" s="56" t="s">
        <v>569</v>
      </c>
      <c r="F231" s="57" t="s">
        <v>570</v>
      </c>
      <c r="G231" s="51">
        <v>10</v>
      </c>
      <c r="H231" s="72">
        <f>'TABLA GENERAL'!D256</f>
        <v>212</v>
      </c>
      <c r="I231" s="114">
        <f t="shared" si="49"/>
        <v>2120</v>
      </c>
      <c r="J231" s="47">
        <v>4</v>
      </c>
      <c r="K231" s="60">
        <f t="shared" si="44"/>
        <v>848</v>
      </c>
      <c r="L231" s="51">
        <v>0</v>
      </c>
      <c r="M231" s="60">
        <f t="shared" si="45"/>
        <v>0</v>
      </c>
      <c r="N231" s="51">
        <v>0</v>
      </c>
      <c r="O231" s="60">
        <f t="shared" si="46"/>
        <v>0</v>
      </c>
      <c r="P231" s="51">
        <v>0</v>
      </c>
      <c r="Q231" s="60">
        <f t="shared" si="47"/>
        <v>0</v>
      </c>
      <c r="R231" s="18">
        <f t="shared" si="48"/>
        <v>4</v>
      </c>
      <c r="S231" s="18">
        <f t="shared" si="48"/>
        <v>848</v>
      </c>
    </row>
    <row r="232" spans="1:20" ht="17.25" thickBot="1" x14ac:dyDescent="0.3">
      <c r="A232" s="112"/>
      <c r="B232" s="112"/>
      <c r="C232" s="112"/>
      <c r="D232" s="112"/>
      <c r="E232" s="112"/>
      <c r="F232" s="112" t="s">
        <v>571</v>
      </c>
      <c r="G232" s="112"/>
      <c r="H232" s="112"/>
      <c r="I232" s="118">
        <f>SUM(I221:I231)</f>
        <v>154974.51</v>
      </c>
      <c r="J232" s="112"/>
      <c r="K232" s="119">
        <f>SUM(K221:K231)</f>
        <v>6048</v>
      </c>
      <c r="L232" s="112"/>
      <c r="M232" s="119">
        <f>SUM(M221:M231)</f>
        <v>105197.56</v>
      </c>
      <c r="N232" s="112"/>
      <c r="O232" s="119">
        <f>SUM(O221:O231)</f>
        <v>0</v>
      </c>
      <c r="P232" s="112"/>
      <c r="Q232" s="119">
        <f>SUM(Q221:Q231)</f>
        <v>0</v>
      </c>
      <c r="R232" s="112">
        <f t="shared" si="48"/>
        <v>0</v>
      </c>
      <c r="S232" s="119">
        <f>Q232+O232+M232+K232</f>
        <v>111245.56</v>
      </c>
      <c r="T232" s="14">
        <f>Q232+O232+M232+K232</f>
        <v>111245.56</v>
      </c>
    </row>
    <row r="234" spans="1:20" ht="15.75" thickBot="1" x14ac:dyDescent="0.3"/>
    <row r="235" spans="1:20" ht="47.25" customHeight="1" thickBot="1" x14ac:dyDescent="0.3">
      <c r="B235" s="195"/>
      <c r="C235" s="195"/>
      <c r="D235" s="195"/>
      <c r="E235" s="195"/>
      <c r="F235" s="617" t="s">
        <v>572</v>
      </c>
      <c r="G235" s="618"/>
      <c r="H235" s="618"/>
      <c r="I235" s="618"/>
      <c r="J235" s="618"/>
      <c r="K235" s="618"/>
      <c r="L235" s="618"/>
      <c r="M235" s="618"/>
      <c r="N235" s="618"/>
      <c r="O235" s="618"/>
      <c r="P235" s="618"/>
      <c r="Q235" s="618"/>
      <c r="R235" s="584" t="s">
        <v>227</v>
      </c>
      <c r="S235" s="585"/>
    </row>
    <row r="236" spans="1:20" ht="50.25" customHeight="1" thickBot="1" x14ac:dyDescent="0.3">
      <c r="A236" s="89" t="s">
        <v>228</v>
      </c>
      <c r="B236" s="597" t="s">
        <v>573</v>
      </c>
      <c r="C236" s="555"/>
      <c r="D236" s="555"/>
      <c r="E236" s="131"/>
      <c r="F236" s="89" t="s">
        <v>85</v>
      </c>
      <c r="G236" s="89" t="s">
        <v>229</v>
      </c>
      <c r="H236" s="89" t="s">
        <v>123</v>
      </c>
      <c r="I236" s="113" t="s">
        <v>230</v>
      </c>
      <c r="J236" s="89">
        <v>2021</v>
      </c>
      <c r="K236" s="89" t="s">
        <v>79</v>
      </c>
      <c r="L236" s="89">
        <v>2022</v>
      </c>
      <c r="M236" s="89" t="s">
        <v>79</v>
      </c>
      <c r="N236" s="89">
        <v>2023</v>
      </c>
      <c r="O236" s="89" t="s">
        <v>79</v>
      </c>
      <c r="P236" s="89">
        <v>2025</v>
      </c>
      <c r="Q236" s="89" t="s">
        <v>79</v>
      </c>
      <c r="R236" s="89" t="s">
        <v>124</v>
      </c>
      <c r="S236" s="89" t="s">
        <v>77</v>
      </c>
    </row>
    <row r="237" spans="1:20" ht="30" customHeight="1" thickTop="1" thickBot="1" x14ac:dyDescent="0.3">
      <c r="A237" s="562" t="s">
        <v>572</v>
      </c>
      <c r="B237" s="604"/>
      <c r="C237" s="605"/>
      <c r="D237" s="605"/>
      <c r="E237" s="56" t="s">
        <v>196</v>
      </c>
      <c r="F237" s="104" t="s">
        <v>197</v>
      </c>
      <c r="G237" s="47">
        <v>2</v>
      </c>
      <c r="H237" s="72">
        <f>'TABLA GENERAL'!D262</f>
        <v>68118</v>
      </c>
      <c r="I237" s="114">
        <f>+H237*G237</f>
        <v>136236</v>
      </c>
      <c r="J237" s="47">
        <v>0</v>
      </c>
      <c r="K237" s="60">
        <f t="shared" ref="K237:K239" si="50">J237*H237</f>
        <v>0</v>
      </c>
      <c r="L237" s="47">
        <v>0</v>
      </c>
      <c r="M237" s="60">
        <f t="shared" ref="M237:M239" si="51">L237*H237</f>
        <v>0</v>
      </c>
      <c r="N237" s="47">
        <v>2</v>
      </c>
      <c r="O237" s="60">
        <f t="shared" ref="O237:O239" si="52">N237*H237</f>
        <v>136236</v>
      </c>
      <c r="P237" s="47">
        <v>0</v>
      </c>
      <c r="Q237" s="60">
        <f t="shared" ref="Q237:Q239" si="53">P237*H237</f>
        <v>0</v>
      </c>
      <c r="R237" s="18">
        <f t="shared" ref="R237:S240" si="54">P237+N237+L237+J237</f>
        <v>2</v>
      </c>
      <c r="S237" s="18">
        <f t="shared" si="54"/>
        <v>136236</v>
      </c>
    </row>
    <row r="238" spans="1:20" ht="16.5" customHeight="1" thickTop="1" thickBot="1" x14ac:dyDescent="0.3">
      <c r="A238" s="563"/>
      <c r="B238" s="604"/>
      <c r="C238" s="605"/>
      <c r="D238" s="605"/>
      <c r="E238" s="56" t="s">
        <v>198</v>
      </c>
      <c r="F238" s="105" t="s">
        <v>199</v>
      </c>
      <c r="G238" s="15">
        <v>5</v>
      </c>
      <c r="H238" s="72">
        <f>'TABLA GENERAL'!D263</f>
        <v>24460</v>
      </c>
      <c r="I238" s="114">
        <f t="shared" ref="I238:I239" si="55">+H238*G238</f>
        <v>122300</v>
      </c>
      <c r="J238" s="15">
        <v>4</v>
      </c>
      <c r="K238" s="60">
        <f>J238*H238</f>
        <v>97840</v>
      </c>
      <c r="L238" s="15">
        <v>0</v>
      </c>
      <c r="M238" s="60">
        <f t="shared" si="51"/>
        <v>0</v>
      </c>
      <c r="N238" s="15">
        <v>0</v>
      </c>
      <c r="O238" s="60">
        <f t="shared" si="52"/>
        <v>0</v>
      </c>
      <c r="P238" s="15">
        <v>1</v>
      </c>
      <c r="Q238" s="60">
        <f>P238*H238</f>
        <v>24460</v>
      </c>
      <c r="R238" s="18">
        <f t="shared" si="54"/>
        <v>5</v>
      </c>
      <c r="S238" s="18">
        <f t="shared" si="54"/>
        <v>122300</v>
      </c>
    </row>
    <row r="239" spans="1:20" ht="16.5" customHeight="1" thickTop="1" thickBot="1" x14ac:dyDescent="0.3">
      <c r="A239" s="564"/>
      <c r="B239" s="607"/>
      <c r="C239" s="608"/>
      <c r="D239" s="608"/>
      <c r="E239" s="56" t="s">
        <v>200</v>
      </c>
      <c r="F239" s="106" t="s">
        <v>201</v>
      </c>
      <c r="G239" s="51">
        <v>2</v>
      </c>
      <c r="H239" s="72">
        <f>'TABLA GENERAL'!D264</f>
        <v>2493</v>
      </c>
      <c r="I239" s="114">
        <f t="shared" si="55"/>
        <v>4986</v>
      </c>
      <c r="J239" s="51">
        <v>1</v>
      </c>
      <c r="K239" s="60">
        <f t="shared" si="50"/>
        <v>2493</v>
      </c>
      <c r="L239" s="51">
        <v>0</v>
      </c>
      <c r="M239" s="60">
        <f t="shared" si="51"/>
        <v>0</v>
      </c>
      <c r="N239" s="51">
        <v>0</v>
      </c>
      <c r="O239" s="60">
        <f t="shared" si="52"/>
        <v>0</v>
      </c>
      <c r="P239" s="51">
        <v>1</v>
      </c>
      <c r="Q239" s="60">
        <f t="shared" si="53"/>
        <v>2493</v>
      </c>
      <c r="R239" s="18">
        <f t="shared" si="54"/>
        <v>2</v>
      </c>
      <c r="S239" s="18">
        <f t="shared" si="54"/>
        <v>4986</v>
      </c>
    </row>
    <row r="240" spans="1:20" ht="17.25" thickBot="1" x14ac:dyDescent="0.3">
      <c r="A240" s="112"/>
      <c r="B240" s="112"/>
      <c r="C240" s="112"/>
      <c r="D240" s="112"/>
      <c r="E240" s="112"/>
      <c r="F240" s="112" t="s">
        <v>574</v>
      </c>
      <c r="G240" s="112"/>
      <c r="H240" s="112"/>
      <c r="I240" s="118">
        <f>SUM(I237:I239)</f>
        <v>263522</v>
      </c>
      <c r="J240" s="112"/>
      <c r="K240" s="119">
        <f>SUM(K237:K239)</f>
        <v>100333</v>
      </c>
      <c r="L240" s="112"/>
      <c r="M240" s="119">
        <f>SUM(M237:M239)</f>
        <v>0</v>
      </c>
      <c r="N240" s="112"/>
      <c r="O240" s="119">
        <f>SUM(O237:O239)</f>
        <v>136236</v>
      </c>
      <c r="P240" s="112"/>
      <c r="Q240" s="119">
        <f>SUM(Q237:Q239)</f>
        <v>26953</v>
      </c>
      <c r="R240" s="112">
        <f t="shared" si="54"/>
        <v>0</v>
      </c>
      <c r="S240" s="119">
        <f>Q240+O240+M240+K240</f>
        <v>263522</v>
      </c>
      <c r="T240" s="14">
        <f>Q240+O240+K240</f>
        <v>263522</v>
      </c>
    </row>
    <row r="241" spans="1:20" ht="15.75" thickBot="1" x14ac:dyDescent="0.3"/>
    <row r="242" spans="1:20" ht="47.25" customHeight="1" thickBot="1" x14ac:dyDescent="0.3">
      <c r="A242" s="620"/>
      <c r="B242" s="620"/>
      <c r="C242" s="620"/>
      <c r="D242" s="620"/>
      <c r="E242" s="621"/>
      <c r="F242" s="617" t="s">
        <v>575</v>
      </c>
      <c r="G242" s="618"/>
      <c r="H242" s="618"/>
      <c r="I242" s="618"/>
      <c r="J242" s="618"/>
      <c r="K242" s="618"/>
      <c r="L242" s="618"/>
      <c r="M242" s="618"/>
      <c r="N242" s="618"/>
      <c r="O242" s="618"/>
      <c r="P242" s="618"/>
      <c r="Q242" s="618"/>
      <c r="R242" s="584" t="s">
        <v>227</v>
      </c>
      <c r="S242" s="585"/>
    </row>
    <row r="243" spans="1:20" ht="50.25" customHeight="1" thickBot="1" x14ac:dyDescent="0.3">
      <c r="A243" s="89" t="s">
        <v>228</v>
      </c>
      <c r="B243" s="597" t="s">
        <v>576</v>
      </c>
      <c r="C243" s="555"/>
      <c r="D243" s="555"/>
      <c r="E243" s="131"/>
      <c r="F243" s="112" t="s">
        <v>85</v>
      </c>
      <c r="G243" s="112" t="s">
        <v>229</v>
      </c>
      <c r="H243" s="112" t="s">
        <v>123</v>
      </c>
      <c r="I243" s="113" t="s">
        <v>230</v>
      </c>
      <c r="J243" s="89">
        <v>2021</v>
      </c>
      <c r="K243" s="89" t="s">
        <v>79</v>
      </c>
      <c r="L243" s="89">
        <v>2022</v>
      </c>
      <c r="M243" s="89" t="s">
        <v>79</v>
      </c>
      <c r="N243" s="89">
        <v>2023</v>
      </c>
      <c r="O243" s="89" t="s">
        <v>79</v>
      </c>
      <c r="P243" s="89">
        <v>2025</v>
      </c>
      <c r="Q243" s="89" t="s">
        <v>79</v>
      </c>
      <c r="R243" s="89" t="s">
        <v>124</v>
      </c>
      <c r="S243" s="89" t="s">
        <v>77</v>
      </c>
    </row>
    <row r="244" spans="1:20" ht="34.5" thickTop="1" thickBot="1" x14ac:dyDescent="0.3">
      <c r="A244" s="112" t="s">
        <v>575</v>
      </c>
      <c r="B244" s="607"/>
      <c r="C244" s="608"/>
      <c r="D244" s="608"/>
      <c r="E244" s="56" t="s">
        <v>743</v>
      </c>
      <c r="F244" s="107" t="s">
        <v>686</v>
      </c>
      <c r="G244" s="22">
        <v>1</v>
      </c>
      <c r="H244" s="94">
        <f>'TABLA GENERAL'!D270</f>
        <v>172012</v>
      </c>
      <c r="I244" s="114">
        <f>+H244</f>
        <v>172012</v>
      </c>
      <c r="J244" s="108"/>
      <c r="K244" s="60">
        <f t="shared" ref="K244" si="56">J244*H244</f>
        <v>0</v>
      </c>
      <c r="L244" s="108">
        <v>0</v>
      </c>
      <c r="M244" s="60">
        <f t="shared" ref="M244" si="57">L244*H244</f>
        <v>0</v>
      </c>
      <c r="N244" s="108">
        <v>0</v>
      </c>
      <c r="O244" s="60">
        <f t="shared" ref="O244" si="58">N244*H244</f>
        <v>0</v>
      </c>
      <c r="P244" s="108">
        <v>1</v>
      </c>
      <c r="Q244" s="60">
        <f t="shared" ref="Q244" si="59">P244*H244</f>
        <v>172012</v>
      </c>
      <c r="R244" s="18">
        <f t="shared" ref="R244:S245" si="60">P244+N244+L244+J244</f>
        <v>1</v>
      </c>
      <c r="S244" s="18">
        <f t="shared" si="60"/>
        <v>172012</v>
      </c>
    </row>
    <row r="245" spans="1:20" ht="17.25" thickBot="1" x14ac:dyDescent="0.3">
      <c r="A245" s="112"/>
      <c r="B245" s="112"/>
      <c r="C245" s="112"/>
      <c r="D245" s="112"/>
      <c r="E245" s="112"/>
      <c r="F245" s="112" t="s">
        <v>577</v>
      </c>
      <c r="G245" s="112"/>
      <c r="H245" s="112"/>
      <c r="I245" s="118">
        <f>+I244</f>
        <v>172012</v>
      </c>
      <c r="J245" s="112"/>
      <c r="K245" s="119">
        <f>SUM(K244)</f>
        <v>0</v>
      </c>
      <c r="L245" s="112"/>
      <c r="M245" s="119">
        <f>SUM(M244)</f>
        <v>0</v>
      </c>
      <c r="N245" s="112"/>
      <c r="O245" s="119">
        <f>SUM(O244)</f>
        <v>0</v>
      </c>
      <c r="P245" s="112"/>
      <c r="Q245" s="119">
        <f>SUM(Q244)</f>
        <v>172012</v>
      </c>
      <c r="R245" s="112">
        <f t="shared" si="60"/>
        <v>0</v>
      </c>
      <c r="S245" s="119">
        <f>Q245+O245+M245+K245</f>
        <v>172012</v>
      </c>
      <c r="T245" s="14">
        <f>S245</f>
        <v>172012</v>
      </c>
    </row>
    <row r="246" spans="1:20" ht="15.75" thickBot="1" x14ac:dyDescent="0.3"/>
    <row r="247" spans="1:20" ht="47.25" customHeight="1" thickBot="1" x14ac:dyDescent="0.3">
      <c r="A247" s="195"/>
      <c r="B247" s="195"/>
      <c r="C247" s="195"/>
      <c r="D247" s="195"/>
      <c r="E247" s="195"/>
      <c r="F247" s="617" t="s">
        <v>578</v>
      </c>
      <c r="G247" s="618"/>
      <c r="H247" s="618"/>
      <c r="I247" s="618"/>
      <c r="J247" s="618"/>
      <c r="K247" s="618"/>
      <c r="L247" s="618"/>
      <c r="M247" s="618"/>
      <c r="N247" s="618"/>
      <c r="O247" s="618"/>
      <c r="P247" s="618"/>
      <c r="Q247" s="618"/>
      <c r="R247" s="584" t="s">
        <v>227</v>
      </c>
      <c r="S247" s="585"/>
    </row>
    <row r="248" spans="1:20" ht="50.25" customHeight="1" thickBot="1" x14ac:dyDescent="0.3">
      <c r="A248" s="89" t="s">
        <v>228</v>
      </c>
      <c r="B248" s="597" t="s">
        <v>579</v>
      </c>
      <c r="C248" s="555"/>
      <c r="D248" s="555"/>
      <c r="E248" s="56"/>
      <c r="F248" s="89" t="s">
        <v>85</v>
      </c>
      <c r="G248" s="112" t="s">
        <v>229</v>
      </c>
      <c r="H248" s="89" t="s">
        <v>123</v>
      </c>
      <c r="I248" s="113" t="s">
        <v>230</v>
      </c>
      <c r="J248" s="89">
        <v>2021</v>
      </c>
      <c r="K248" s="89" t="s">
        <v>79</v>
      </c>
      <c r="L248" s="89">
        <v>2022</v>
      </c>
      <c r="M248" s="89" t="s">
        <v>79</v>
      </c>
      <c r="N248" s="89">
        <v>2023</v>
      </c>
      <c r="O248" s="89" t="s">
        <v>79</v>
      </c>
      <c r="P248" s="89">
        <v>2025</v>
      </c>
      <c r="Q248" s="89" t="s">
        <v>79</v>
      </c>
      <c r="R248" s="89" t="s">
        <v>124</v>
      </c>
      <c r="S248" s="89" t="s">
        <v>77</v>
      </c>
    </row>
    <row r="249" spans="1:20" ht="51" thickTop="1" thickBot="1" x14ac:dyDescent="0.3">
      <c r="A249" s="112" t="s">
        <v>578</v>
      </c>
      <c r="B249" s="607"/>
      <c r="C249" s="608"/>
      <c r="D249" s="608"/>
      <c r="E249" s="56" t="s">
        <v>744</v>
      </c>
      <c r="F249" s="109" t="s">
        <v>205</v>
      </c>
      <c r="G249" s="22">
        <v>1</v>
      </c>
      <c r="H249" s="110">
        <f>'TABLA GENERAL'!D275</f>
        <v>90850</v>
      </c>
      <c r="I249" s="114">
        <f>+H249</f>
        <v>90850</v>
      </c>
      <c r="J249" s="108">
        <v>0</v>
      </c>
      <c r="K249" s="60">
        <f t="shared" ref="K249" si="61">J249*H249</f>
        <v>0</v>
      </c>
      <c r="L249" s="108">
        <v>0</v>
      </c>
      <c r="M249" s="60">
        <f t="shared" ref="M249" si="62">L249*H249</f>
        <v>0</v>
      </c>
      <c r="N249" s="108">
        <v>0</v>
      </c>
      <c r="O249" s="60">
        <f t="shared" ref="O249" si="63">N249*H249</f>
        <v>0</v>
      </c>
      <c r="P249" s="108">
        <v>1</v>
      </c>
      <c r="Q249" s="60">
        <f t="shared" ref="Q249" si="64">P249*H249</f>
        <v>90850</v>
      </c>
      <c r="R249" s="18">
        <f t="shared" ref="R249:S250" si="65">P249+N249+L249+J249</f>
        <v>1</v>
      </c>
      <c r="S249" s="18">
        <f t="shared" si="65"/>
        <v>90850</v>
      </c>
    </row>
    <row r="250" spans="1:20" ht="17.25" thickBot="1" x14ac:dyDescent="0.3">
      <c r="A250" s="112"/>
      <c r="B250" s="112"/>
      <c r="C250" s="112"/>
      <c r="D250" s="112"/>
      <c r="E250" s="112"/>
      <c r="F250" s="112" t="s">
        <v>580</v>
      </c>
      <c r="G250" s="112"/>
      <c r="H250" s="112"/>
      <c r="I250" s="118">
        <f>+I249</f>
        <v>90850</v>
      </c>
      <c r="J250" s="112"/>
      <c r="K250" s="119">
        <f>SUM(K249)</f>
        <v>0</v>
      </c>
      <c r="L250" s="112"/>
      <c r="M250" s="119">
        <f>SUM(M249)</f>
        <v>0</v>
      </c>
      <c r="N250" s="112"/>
      <c r="O250" s="119">
        <f>SUM(O249)</f>
        <v>0</v>
      </c>
      <c r="P250" s="112"/>
      <c r="Q250" s="119">
        <f>SUM(Q249)</f>
        <v>90850</v>
      </c>
      <c r="R250" s="112">
        <f t="shared" si="65"/>
        <v>0</v>
      </c>
      <c r="S250" s="119">
        <f>Q250+O250+M250+K250</f>
        <v>90850</v>
      </c>
      <c r="T250" s="14">
        <f>S250</f>
        <v>90850</v>
      </c>
    </row>
    <row r="251" spans="1:20" ht="27" customHeight="1" thickBot="1" x14ac:dyDescent="0.3"/>
    <row r="252" spans="1:20" ht="47.25" customHeight="1" thickBot="1" x14ac:dyDescent="0.3">
      <c r="A252" s="195"/>
      <c r="B252" s="195"/>
      <c r="C252" s="195"/>
      <c r="D252" s="195"/>
      <c r="E252" s="195"/>
      <c r="F252" s="617" t="s">
        <v>581</v>
      </c>
      <c r="G252" s="618"/>
      <c r="H252" s="618"/>
      <c r="I252" s="618"/>
      <c r="J252" s="618"/>
      <c r="K252" s="618"/>
      <c r="L252" s="618"/>
      <c r="M252" s="618"/>
      <c r="N252" s="618"/>
      <c r="O252" s="618"/>
      <c r="P252" s="618"/>
      <c r="Q252" s="618"/>
      <c r="R252" s="584" t="s">
        <v>227</v>
      </c>
      <c r="S252" s="585"/>
    </row>
    <row r="253" spans="1:20" ht="50.25" thickBot="1" x14ac:dyDescent="0.3">
      <c r="A253" s="89" t="s">
        <v>228</v>
      </c>
      <c r="B253" s="610" t="s">
        <v>582</v>
      </c>
      <c r="C253" s="611"/>
      <c r="D253" s="89"/>
      <c r="E253" s="89"/>
      <c r="F253" s="89" t="s">
        <v>85</v>
      </c>
      <c r="G253" s="89" t="s">
        <v>229</v>
      </c>
      <c r="H253" s="89" t="s">
        <v>123</v>
      </c>
      <c r="I253" s="113" t="s">
        <v>230</v>
      </c>
      <c r="J253" s="89">
        <v>2021</v>
      </c>
      <c r="K253" s="89" t="s">
        <v>79</v>
      </c>
      <c r="L253" s="89">
        <v>2022</v>
      </c>
      <c r="M253" s="89" t="s">
        <v>79</v>
      </c>
      <c r="N253" s="89">
        <v>2023</v>
      </c>
      <c r="O253" s="89" t="s">
        <v>79</v>
      </c>
      <c r="P253" s="89">
        <v>2025</v>
      </c>
      <c r="Q253" s="89" t="s">
        <v>79</v>
      </c>
      <c r="R253" s="89" t="s">
        <v>124</v>
      </c>
      <c r="S253" s="89" t="s">
        <v>77</v>
      </c>
    </row>
    <row r="254" spans="1:20" ht="31.5" customHeight="1" thickTop="1" thickBot="1" x14ac:dyDescent="0.3">
      <c r="A254" s="558" t="s">
        <v>581</v>
      </c>
      <c r="B254" s="612"/>
      <c r="C254" s="613"/>
      <c r="D254" s="586" t="s">
        <v>206</v>
      </c>
      <c r="E254" s="56" t="s">
        <v>207</v>
      </c>
      <c r="F254" s="48" t="s">
        <v>208</v>
      </c>
      <c r="G254" s="47">
        <v>14</v>
      </c>
      <c r="H254" s="72">
        <f>'TABLA GENERAL'!D280</f>
        <v>570</v>
      </c>
      <c r="I254" s="114">
        <f>H254*G254</f>
        <v>7980</v>
      </c>
      <c r="J254" s="108">
        <v>0</v>
      </c>
      <c r="K254" s="60">
        <f t="shared" ref="K254:K257" si="66">J254*H254</f>
        <v>0</v>
      </c>
      <c r="L254" s="108">
        <v>0</v>
      </c>
      <c r="M254" s="60">
        <f t="shared" ref="M254:O257" si="67">L254*H254</f>
        <v>0</v>
      </c>
      <c r="N254" s="108">
        <v>0</v>
      </c>
      <c r="O254" s="60">
        <f t="shared" ref="O254:O256" si="68">N254*H254</f>
        <v>0</v>
      </c>
      <c r="P254" s="47">
        <v>6</v>
      </c>
      <c r="Q254" s="60">
        <f t="shared" ref="Q254:Q257" si="69">P254*H254</f>
        <v>3420</v>
      </c>
      <c r="R254" s="18">
        <f t="shared" ref="R254:S258" si="70">P254+N254+L254+J254</f>
        <v>6</v>
      </c>
      <c r="S254" s="18">
        <f t="shared" si="70"/>
        <v>3420</v>
      </c>
    </row>
    <row r="255" spans="1:20" ht="31.5" thickTop="1" thickBot="1" x14ac:dyDescent="0.3">
      <c r="A255" s="559" t="s">
        <v>581</v>
      </c>
      <c r="B255" s="612"/>
      <c r="C255" s="613"/>
      <c r="D255" s="616"/>
      <c r="E255" s="56" t="s">
        <v>209</v>
      </c>
      <c r="F255" s="32" t="s">
        <v>210</v>
      </c>
      <c r="G255" s="15">
        <v>8</v>
      </c>
      <c r="H255" s="72">
        <f>'TABLA GENERAL'!D281</f>
        <v>3967.46</v>
      </c>
      <c r="I255" s="114">
        <f t="shared" ref="I255:I257" si="71">H255*G255</f>
        <v>31739.68</v>
      </c>
      <c r="J255" s="108">
        <v>0</v>
      </c>
      <c r="K255" s="60">
        <f t="shared" si="66"/>
        <v>0</v>
      </c>
      <c r="L255" s="108">
        <v>0</v>
      </c>
      <c r="M255" s="60">
        <f t="shared" si="67"/>
        <v>0</v>
      </c>
      <c r="N255" s="108">
        <v>0</v>
      </c>
      <c r="O255" s="60">
        <f t="shared" si="68"/>
        <v>0</v>
      </c>
      <c r="P255" s="15">
        <v>4</v>
      </c>
      <c r="Q255" s="60">
        <f t="shared" si="69"/>
        <v>15869.84</v>
      </c>
      <c r="R255" s="18">
        <f t="shared" si="70"/>
        <v>4</v>
      </c>
      <c r="S255" s="18">
        <f t="shared" si="70"/>
        <v>15869.84</v>
      </c>
    </row>
    <row r="256" spans="1:20" ht="31.5" thickTop="1" thickBot="1" x14ac:dyDescent="0.3">
      <c r="A256" s="559" t="s">
        <v>581</v>
      </c>
      <c r="B256" s="612"/>
      <c r="C256" s="613"/>
      <c r="D256" s="616"/>
      <c r="E256" s="56" t="s">
        <v>583</v>
      </c>
      <c r="F256" s="32" t="s">
        <v>584</v>
      </c>
      <c r="G256" s="15">
        <v>14</v>
      </c>
      <c r="H256" s="72">
        <f>'TABLA GENERAL'!D282</f>
        <v>24870</v>
      </c>
      <c r="I256" s="114">
        <f t="shared" si="71"/>
        <v>348180</v>
      </c>
      <c r="J256" s="108">
        <v>0</v>
      </c>
      <c r="K256" s="60">
        <f t="shared" si="66"/>
        <v>0</v>
      </c>
      <c r="L256" s="108">
        <v>0</v>
      </c>
      <c r="M256" s="60">
        <f t="shared" si="67"/>
        <v>0</v>
      </c>
      <c r="N256" s="108">
        <v>0</v>
      </c>
      <c r="O256" s="60">
        <f t="shared" si="68"/>
        <v>0</v>
      </c>
      <c r="P256" s="15">
        <v>8</v>
      </c>
      <c r="Q256" s="60">
        <f t="shared" si="69"/>
        <v>198960</v>
      </c>
      <c r="R256" s="18">
        <f t="shared" si="70"/>
        <v>8</v>
      </c>
      <c r="S256" s="18">
        <f t="shared" si="70"/>
        <v>198960</v>
      </c>
    </row>
    <row r="257" spans="1:20" ht="60.75" customHeight="1" thickTop="1" thickBot="1" x14ac:dyDescent="0.3">
      <c r="A257" s="560" t="s">
        <v>581</v>
      </c>
      <c r="B257" s="614"/>
      <c r="C257" s="615"/>
      <c r="D257" s="589"/>
      <c r="E257" s="56" t="s">
        <v>211</v>
      </c>
      <c r="F257" s="57" t="s">
        <v>212</v>
      </c>
      <c r="G257" s="51">
        <v>8</v>
      </c>
      <c r="H257" s="72">
        <f>'TABLA GENERAL'!D283</f>
        <v>42800</v>
      </c>
      <c r="I257" s="114">
        <f t="shared" si="71"/>
        <v>342400</v>
      </c>
      <c r="J257" s="108">
        <v>0</v>
      </c>
      <c r="K257" s="60">
        <f t="shared" si="66"/>
        <v>0</v>
      </c>
      <c r="L257" s="108">
        <v>0</v>
      </c>
      <c r="M257" s="60">
        <f t="shared" si="67"/>
        <v>0</v>
      </c>
      <c r="N257" s="108">
        <v>0</v>
      </c>
      <c r="O257" s="60">
        <f t="shared" si="67"/>
        <v>0</v>
      </c>
      <c r="P257" s="51">
        <v>4</v>
      </c>
      <c r="Q257" s="60">
        <f t="shared" si="69"/>
        <v>171200</v>
      </c>
      <c r="R257" s="18">
        <f t="shared" si="70"/>
        <v>4</v>
      </c>
      <c r="S257" s="18">
        <f t="shared" si="70"/>
        <v>171200</v>
      </c>
    </row>
    <row r="258" spans="1:20" ht="17.25" thickBot="1" x14ac:dyDescent="0.3">
      <c r="A258" s="112"/>
      <c r="B258" s="112"/>
      <c r="C258" s="112"/>
      <c r="D258" s="112"/>
      <c r="E258" s="112"/>
      <c r="F258" s="112" t="s">
        <v>585</v>
      </c>
      <c r="G258" s="112"/>
      <c r="H258" s="112"/>
      <c r="I258" s="118">
        <f>SUM(I254:I257)</f>
        <v>730299.67999999993</v>
      </c>
      <c r="J258" s="112"/>
      <c r="K258" s="119">
        <f>SUM(K254:K257)</f>
        <v>0</v>
      </c>
      <c r="L258" s="112"/>
      <c r="M258" s="119">
        <f>SUM(M254:M257)</f>
        <v>0</v>
      </c>
      <c r="N258" s="112"/>
      <c r="O258" s="119">
        <f>SUM(O254:O257)</f>
        <v>0</v>
      </c>
      <c r="P258" s="112"/>
      <c r="Q258" s="119">
        <f>SUM(Q254:Q257)</f>
        <v>389449.83999999997</v>
      </c>
      <c r="R258" s="112">
        <f t="shared" si="70"/>
        <v>0</v>
      </c>
      <c r="S258" s="119">
        <f>Q258+O258+M258+K258</f>
        <v>389449.83999999997</v>
      </c>
      <c r="T258" s="14">
        <f>Q258+O258+M258+K258</f>
        <v>389449.83999999997</v>
      </c>
    </row>
    <row r="259" spans="1:20" ht="15.75" thickBot="1" x14ac:dyDescent="0.3"/>
    <row r="260" spans="1:20" ht="47.25" customHeight="1" thickBot="1" x14ac:dyDescent="0.3">
      <c r="B260" s="620"/>
      <c r="C260" s="620"/>
      <c r="D260" s="620"/>
      <c r="E260" s="621"/>
      <c r="F260" s="617" t="s">
        <v>586</v>
      </c>
      <c r="G260" s="618"/>
      <c r="H260" s="618"/>
      <c r="I260" s="618"/>
      <c r="J260" s="618"/>
      <c r="K260" s="618"/>
      <c r="L260" s="618"/>
      <c r="M260" s="618"/>
      <c r="N260" s="618"/>
      <c r="O260" s="618"/>
      <c r="P260" s="618"/>
      <c r="Q260" s="619"/>
      <c r="R260" s="584" t="s">
        <v>227</v>
      </c>
      <c r="S260" s="585"/>
    </row>
    <row r="261" spans="1:20" ht="50.25" thickBot="1" x14ac:dyDescent="0.3">
      <c r="A261" s="89" t="s">
        <v>228</v>
      </c>
      <c r="B261" s="597" t="s">
        <v>587</v>
      </c>
      <c r="C261" s="555"/>
      <c r="D261" s="598"/>
      <c r="E261" s="89"/>
      <c r="F261" s="89" t="s">
        <v>85</v>
      </c>
      <c r="G261" s="89" t="s">
        <v>229</v>
      </c>
      <c r="H261" s="89" t="s">
        <v>123</v>
      </c>
      <c r="I261" s="113" t="s">
        <v>230</v>
      </c>
      <c r="J261" s="89">
        <v>2021</v>
      </c>
      <c r="K261" s="89" t="s">
        <v>79</v>
      </c>
      <c r="L261" s="89">
        <v>2022</v>
      </c>
      <c r="M261" s="89" t="s">
        <v>79</v>
      </c>
      <c r="N261" s="89">
        <v>2023</v>
      </c>
      <c r="O261" s="89" t="s">
        <v>79</v>
      </c>
      <c r="P261" s="89">
        <v>2025</v>
      </c>
      <c r="Q261" s="89" t="s">
        <v>79</v>
      </c>
      <c r="R261" s="89" t="s">
        <v>124</v>
      </c>
      <c r="S261" s="89" t="s">
        <v>77</v>
      </c>
    </row>
    <row r="262" spans="1:20" ht="18" customHeight="1" thickTop="1" thickBot="1" x14ac:dyDescent="0.3">
      <c r="A262" s="565" t="s">
        <v>586</v>
      </c>
      <c r="B262" s="604"/>
      <c r="C262" s="605"/>
      <c r="D262" s="606"/>
      <c r="E262" s="56" t="s">
        <v>213</v>
      </c>
      <c r="F262" s="48" t="s">
        <v>214</v>
      </c>
      <c r="G262" s="47">
        <v>1</v>
      </c>
      <c r="H262" s="72">
        <f>'TABLA GENERAL'!D288</f>
        <v>1600</v>
      </c>
      <c r="I262" s="114">
        <f>H262*G262</f>
        <v>1600</v>
      </c>
      <c r="J262" s="47">
        <v>0</v>
      </c>
      <c r="K262" s="60">
        <f t="shared" ref="K262:K266" si="72">J262*H262</f>
        <v>0</v>
      </c>
      <c r="L262" s="47">
        <v>0</v>
      </c>
      <c r="M262" s="60">
        <f t="shared" ref="M262:M266" si="73">L262*H262</f>
        <v>0</v>
      </c>
      <c r="N262" s="47">
        <v>0</v>
      </c>
      <c r="O262" s="60">
        <f t="shared" ref="O262:O266" si="74">N262*J262</f>
        <v>0</v>
      </c>
      <c r="P262" s="47">
        <v>1</v>
      </c>
      <c r="Q262" s="60">
        <f t="shared" ref="Q262:Q266" si="75">P262*H262</f>
        <v>1600</v>
      </c>
      <c r="R262" s="18">
        <f t="shared" ref="R262:S267" si="76">P262+N262+L262+J262</f>
        <v>1</v>
      </c>
      <c r="S262" s="18">
        <f t="shared" si="76"/>
        <v>1600</v>
      </c>
    </row>
    <row r="263" spans="1:20" ht="16.5" thickTop="1" thickBot="1" x14ac:dyDescent="0.3">
      <c r="A263" s="566"/>
      <c r="B263" s="604"/>
      <c r="C263" s="605"/>
      <c r="D263" s="606"/>
      <c r="E263" s="56" t="s">
        <v>215</v>
      </c>
      <c r="F263" s="32" t="s">
        <v>216</v>
      </c>
      <c r="G263" s="15">
        <v>1</v>
      </c>
      <c r="H263" s="72">
        <f>'TABLA GENERAL'!D289</f>
        <v>3058</v>
      </c>
      <c r="I263" s="114">
        <f t="shared" ref="I263:I266" si="77">H263*G263</f>
        <v>3058</v>
      </c>
      <c r="J263" s="15">
        <v>1</v>
      </c>
      <c r="K263" s="60">
        <f t="shared" si="72"/>
        <v>3058</v>
      </c>
      <c r="L263" s="47">
        <v>0</v>
      </c>
      <c r="M263" s="60">
        <f t="shared" si="73"/>
        <v>0</v>
      </c>
      <c r="N263" s="47">
        <v>0</v>
      </c>
      <c r="O263" s="60">
        <f t="shared" si="74"/>
        <v>0</v>
      </c>
      <c r="P263" s="15">
        <v>0</v>
      </c>
      <c r="Q263" s="60">
        <f t="shared" si="75"/>
        <v>0</v>
      </c>
      <c r="R263" s="18">
        <f t="shared" si="76"/>
        <v>1</v>
      </c>
      <c r="S263" s="18">
        <f t="shared" si="76"/>
        <v>3058</v>
      </c>
    </row>
    <row r="264" spans="1:20" ht="16.5" thickTop="1" thickBot="1" x14ac:dyDescent="0.3">
      <c r="A264" s="566"/>
      <c r="B264" s="604"/>
      <c r="C264" s="605"/>
      <c r="D264" s="606"/>
      <c r="E264" s="56" t="s">
        <v>217</v>
      </c>
      <c r="F264" s="32" t="s">
        <v>218</v>
      </c>
      <c r="G264" s="15">
        <v>4</v>
      </c>
      <c r="H264" s="72">
        <f>'TABLA GENERAL'!D290</f>
        <v>2880</v>
      </c>
      <c r="I264" s="114">
        <f t="shared" si="77"/>
        <v>11520</v>
      </c>
      <c r="J264" s="15">
        <v>4</v>
      </c>
      <c r="K264" s="60">
        <f t="shared" si="72"/>
        <v>11520</v>
      </c>
      <c r="L264" s="47">
        <v>0</v>
      </c>
      <c r="M264" s="60">
        <f t="shared" si="73"/>
        <v>0</v>
      </c>
      <c r="N264" s="47">
        <v>0</v>
      </c>
      <c r="O264" s="60">
        <f t="shared" si="74"/>
        <v>0</v>
      </c>
      <c r="P264" s="15">
        <v>0</v>
      </c>
      <c r="Q264" s="60">
        <f t="shared" si="75"/>
        <v>0</v>
      </c>
      <c r="R264" s="18">
        <f t="shared" si="76"/>
        <v>4</v>
      </c>
      <c r="S264" s="18">
        <f t="shared" si="76"/>
        <v>11520</v>
      </c>
    </row>
    <row r="265" spans="1:20" ht="16.5" thickTop="1" thickBot="1" x14ac:dyDescent="0.3">
      <c r="A265" s="566"/>
      <c r="B265" s="604"/>
      <c r="C265" s="605"/>
      <c r="D265" s="606"/>
      <c r="E265" s="56" t="s">
        <v>219</v>
      </c>
      <c r="F265" s="32" t="s">
        <v>220</v>
      </c>
      <c r="G265" s="15">
        <v>1</v>
      </c>
      <c r="H265" s="72">
        <f>'TABLA GENERAL'!D291</f>
        <v>1990</v>
      </c>
      <c r="I265" s="114">
        <f t="shared" si="77"/>
        <v>1990</v>
      </c>
      <c r="J265" s="15">
        <v>0</v>
      </c>
      <c r="K265" s="60">
        <f t="shared" si="72"/>
        <v>0</v>
      </c>
      <c r="L265" s="47">
        <v>0</v>
      </c>
      <c r="M265" s="60">
        <f t="shared" si="73"/>
        <v>0</v>
      </c>
      <c r="N265" s="47">
        <v>0</v>
      </c>
      <c r="O265" s="60">
        <f t="shared" si="74"/>
        <v>0</v>
      </c>
      <c r="P265" s="15">
        <v>1</v>
      </c>
      <c r="Q265" s="60">
        <f t="shared" si="75"/>
        <v>1990</v>
      </c>
      <c r="R265" s="18">
        <f t="shared" si="76"/>
        <v>1</v>
      </c>
      <c r="S265" s="18">
        <f t="shared" si="76"/>
        <v>1990</v>
      </c>
    </row>
    <row r="266" spans="1:20" ht="16.5" thickTop="1" thickBot="1" x14ac:dyDescent="0.3">
      <c r="A266" s="567"/>
      <c r="B266" s="607"/>
      <c r="C266" s="608"/>
      <c r="D266" s="609"/>
      <c r="E266" s="56" t="s">
        <v>221</v>
      </c>
      <c r="F266" s="57" t="s">
        <v>222</v>
      </c>
      <c r="G266" s="51">
        <v>1</v>
      </c>
      <c r="H266" s="72">
        <f>'TABLA GENERAL'!D292</f>
        <v>43500</v>
      </c>
      <c r="I266" s="114">
        <f t="shared" si="77"/>
        <v>43500</v>
      </c>
      <c r="J266" s="51">
        <v>1</v>
      </c>
      <c r="K266" s="60">
        <f t="shared" si="72"/>
        <v>43500</v>
      </c>
      <c r="L266" s="47">
        <v>0</v>
      </c>
      <c r="M266" s="60">
        <f t="shared" si="73"/>
        <v>0</v>
      </c>
      <c r="N266" s="47">
        <v>0</v>
      </c>
      <c r="O266" s="60">
        <f t="shared" si="74"/>
        <v>0</v>
      </c>
      <c r="P266" s="51">
        <v>0</v>
      </c>
      <c r="Q266" s="60">
        <f t="shared" si="75"/>
        <v>0</v>
      </c>
      <c r="R266" s="18">
        <f t="shared" si="76"/>
        <v>1</v>
      </c>
      <c r="S266" s="18">
        <f t="shared" si="76"/>
        <v>43500</v>
      </c>
    </row>
    <row r="267" spans="1:20" ht="17.25" thickBot="1" x14ac:dyDescent="0.3">
      <c r="A267" s="112"/>
      <c r="B267" s="112"/>
      <c r="C267" s="112"/>
      <c r="D267" s="112"/>
      <c r="E267" s="112"/>
      <c r="F267" s="112" t="s">
        <v>588</v>
      </c>
      <c r="G267" s="112"/>
      <c r="H267" s="112"/>
      <c r="I267" s="118">
        <f>SUM(I262:I266)</f>
        <v>61668</v>
      </c>
      <c r="J267" s="112"/>
      <c r="K267" s="119">
        <f>SUM(K262:K266)</f>
        <v>58078</v>
      </c>
      <c r="L267" s="112"/>
      <c r="M267" s="119">
        <f>SUM(M262:M266)</f>
        <v>0</v>
      </c>
      <c r="N267" s="112"/>
      <c r="O267" s="119">
        <f>SUM(O262:O266)</f>
        <v>0</v>
      </c>
      <c r="P267" s="112"/>
      <c r="Q267" s="119">
        <f>SUM(Q262:Q266)</f>
        <v>3590</v>
      </c>
      <c r="R267" s="112">
        <f t="shared" si="76"/>
        <v>0</v>
      </c>
      <c r="S267" s="119">
        <f>Q267+O267+M267+K267</f>
        <v>61668</v>
      </c>
      <c r="T267" s="14">
        <f>Q267+O267+M267+K267</f>
        <v>61668</v>
      </c>
    </row>
    <row r="269" spans="1:20" ht="15.75" thickBot="1" x14ac:dyDescent="0.3"/>
    <row r="270" spans="1:20" ht="19.5" thickBot="1" x14ac:dyDescent="0.35">
      <c r="A270" s="132"/>
      <c r="B270" s="132"/>
      <c r="C270" s="132"/>
      <c r="D270" s="132"/>
      <c r="E270" s="132"/>
      <c r="F270" s="592"/>
      <c r="G270" s="593"/>
      <c r="H270" s="593"/>
      <c r="I270" s="594"/>
      <c r="J270" s="592" t="s">
        <v>225</v>
      </c>
      <c r="K270" s="593"/>
      <c r="L270" s="593"/>
      <c r="M270" s="593"/>
      <c r="N270" s="593"/>
      <c r="O270" s="594"/>
      <c r="P270" s="592" t="s">
        <v>226</v>
      </c>
      <c r="Q270" s="594"/>
      <c r="R270" s="584" t="s">
        <v>227</v>
      </c>
      <c r="S270" s="585"/>
    </row>
    <row r="271" spans="1:20" ht="60" customHeight="1" thickBot="1" x14ac:dyDescent="0.3">
      <c r="A271" s="586" t="s">
        <v>589</v>
      </c>
      <c r="B271" s="587"/>
      <c r="C271" s="587"/>
      <c r="D271" s="587"/>
      <c r="E271" s="587"/>
      <c r="F271" s="588"/>
      <c r="G271" s="592" t="s">
        <v>230</v>
      </c>
      <c r="H271" s="593"/>
      <c r="I271" s="594"/>
      <c r="J271" s="595">
        <v>2021</v>
      </c>
      <c r="K271" s="596"/>
      <c r="L271" s="595">
        <v>2022</v>
      </c>
      <c r="M271" s="596"/>
      <c r="N271" s="595">
        <v>2023</v>
      </c>
      <c r="O271" s="596"/>
      <c r="P271" s="595">
        <v>2025</v>
      </c>
      <c r="Q271" s="596"/>
      <c r="R271" s="597" t="s">
        <v>77</v>
      </c>
      <c r="S271" s="598"/>
    </row>
    <row r="272" spans="1:20" ht="33" customHeight="1" thickBot="1" x14ac:dyDescent="0.3">
      <c r="A272" s="589"/>
      <c r="B272" s="590"/>
      <c r="C272" s="590"/>
      <c r="D272" s="590"/>
      <c r="E272" s="590"/>
      <c r="F272" s="591"/>
      <c r="G272" s="599">
        <f>(S39+S132+S167+S198+S212+S217+S232+S240+S245+S250+S258+S267)</f>
        <v>11860335.853076922</v>
      </c>
      <c r="H272" s="600"/>
      <c r="I272" s="133"/>
      <c r="J272" s="599">
        <v>2550000</v>
      </c>
      <c r="K272" s="601"/>
      <c r="L272" s="599">
        <v>2500000</v>
      </c>
      <c r="M272" s="601"/>
      <c r="N272" s="599">
        <v>2500000</v>
      </c>
      <c r="O272" s="601"/>
      <c r="P272" s="599">
        <v>4300000</v>
      </c>
      <c r="Q272" s="601"/>
      <c r="R272" s="602">
        <f>P272+N272+L272+J272</f>
        <v>11850000</v>
      </c>
      <c r="S272" s="603"/>
      <c r="T272" s="14">
        <f>T267+T258+T250+T245+T240+T232+T217+T212+T198+T167+T132+T39</f>
        <v>11860335.853076924</v>
      </c>
    </row>
    <row r="273" spans="11:19" customFormat="1" x14ac:dyDescent="0.25">
      <c r="K273" s="14">
        <f>K267+K258+K250+K245+K240+K232+K217+K212+K198+K167+K132+K39</f>
        <v>2559960.6</v>
      </c>
      <c r="M273" s="14">
        <f>M267+M258+M250+M245+M240+M232+M217+M212+M198+M167+M132+M39</f>
        <v>2584654.89</v>
      </c>
      <c r="O273" s="14">
        <f>O267+O258+O250+O245+O240+O232+O217+O212+O198+O167+O132+O39</f>
        <v>2511625.2000000002</v>
      </c>
      <c r="Q273" s="14">
        <f>Q267+Q258+Q250+Q245+Q240+Q232+Q217+Q212+Q198+Q167+Q132+Q39</f>
        <v>4204095.1630769232</v>
      </c>
    </row>
    <row r="274" spans="11:19" customFormat="1" x14ac:dyDescent="0.25">
      <c r="K274" s="14">
        <f>J272-K273</f>
        <v>-9960.6000000000931</v>
      </c>
      <c r="M274" s="14">
        <f>L272-M273</f>
        <v>-84654.89000000013</v>
      </c>
      <c r="O274" s="14">
        <f>N272-O273</f>
        <v>-11625.200000000186</v>
      </c>
      <c r="Q274" s="14">
        <f>P272-Q273</f>
        <v>95904.836923076771</v>
      </c>
    </row>
    <row r="276" spans="11:19" customFormat="1" x14ac:dyDescent="0.25">
      <c r="Q276" s="14">
        <f>-1*(Q274+O274+M274+K274)</f>
        <v>10335.853076923639</v>
      </c>
      <c r="S276" s="14">
        <f>T272-R272</f>
        <v>10335.853076923639</v>
      </c>
    </row>
  </sheetData>
  <mergeCells count="89">
    <mergeCell ref="B1:S1"/>
    <mergeCell ref="J2:O2"/>
    <mergeCell ref="P2:Q2"/>
    <mergeCell ref="J3:O3"/>
    <mergeCell ref="P3:Q3"/>
    <mergeCell ref="R3:S3"/>
    <mergeCell ref="F42:Q42"/>
    <mergeCell ref="R42:S42"/>
    <mergeCell ref="C44:D56"/>
    <mergeCell ref="C57:D102"/>
    <mergeCell ref="D23:D26"/>
    <mergeCell ref="D27:D28"/>
    <mergeCell ref="D29:D30"/>
    <mergeCell ref="D31:D33"/>
    <mergeCell ref="C104:C131"/>
    <mergeCell ref="D104:D121"/>
    <mergeCell ref="A5:A38"/>
    <mergeCell ref="B5:B39"/>
    <mergeCell ref="C5:C22"/>
    <mergeCell ref="D5:D15"/>
    <mergeCell ref="D16:D22"/>
    <mergeCell ref="C23:C33"/>
    <mergeCell ref="D122:D131"/>
    <mergeCell ref="B43:B102"/>
    <mergeCell ref="B103:B130"/>
    <mergeCell ref="C103:D103"/>
    <mergeCell ref="C34:D38"/>
    <mergeCell ref="F135:Q135"/>
    <mergeCell ref="R135:S135"/>
    <mergeCell ref="A137:A166"/>
    <mergeCell ref="B137:B166"/>
    <mergeCell ref="C137:D160"/>
    <mergeCell ref="C161:D166"/>
    <mergeCell ref="F170:Q170"/>
    <mergeCell ref="R170:S170"/>
    <mergeCell ref="A172:A197"/>
    <mergeCell ref="B172:B197"/>
    <mergeCell ref="C172:D179"/>
    <mergeCell ref="C180:D191"/>
    <mergeCell ref="C192:D197"/>
    <mergeCell ref="A221:A231"/>
    <mergeCell ref="F235:Q235"/>
    <mergeCell ref="R235:S235"/>
    <mergeCell ref="F200:Q200"/>
    <mergeCell ref="R200:S200"/>
    <mergeCell ref="B201:D210"/>
    <mergeCell ref="A202:A211"/>
    <mergeCell ref="F214:Q214"/>
    <mergeCell ref="R214:S214"/>
    <mergeCell ref="B215:D217"/>
    <mergeCell ref="F219:Q219"/>
    <mergeCell ref="R219:S219"/>
    <mergeCell ref="B220:D231"/>
    <mergeCell ref="B236:D239"/>
    <mergeCell ref="A237:A239"/>
    <mergeCell ref="F242:Q242"/>
    <mergeCell ref="R242:S242"/>
    <mergeCell ref="B243:D244"/>
    <mergeCell ref="A242:E242"/>
    <mergeCell ref="B248:D249"/>
    <mergeCell ref="F247:Q247"/>
    <mergeCell ref="R247:S247"/>
    <mergeCell ref="F252:Q252"/>
    <mergeCell ref="R252:S252"/>
    <mergeCell ref="B253:C257"/>
    <mergeCell ref="A254:A257"/>
    <mergeCell ref="D254:D257"/>
    <mergeCell ref="F260:Q260"/>
    <mergeCell ref="R260:S260"/>
    <mergeCell ref="B260:E260"/>
    <mergeCell ref="B261:D266"/>
    <mergeCell ref="A262:A266"/>
    <mergeCell ref="F270:I270"/>
    <mergeCell ref="J270:O270"/>
    <mergeCell ref="P270:Q270"/>
    <mergeCell ref="R270:S270"/>
    <mergeCell ref="A271:F272"/>
    <mergeCell ref="G271:I271"/>
    <mergeCell ref="J271:K271"/>
    <mergeCell ref="L271:M271"/>
    <mergeCell ref="N271:O271"/>
    <mergeCell ref="R271:S271"/>
    <mergeCell ref="G272:H272"/>
    <mergeCell ref="J272:K272"/>
    <mergeCell ref="L272:M272"/>
    <mergeCell ref="N272:O272"/>
    <mergeCell ref="P272:Q272"/>
    <mergeCell ref="R272:S272"/>
    <mergeCell ref="P271:Q271"/>
  </mergeCells>
  <pageMargins left="0.7" right="0.7" top="0.75" bottom="0.75" header="0.3" footer="0.3"/>
  <pageSetup scale="65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opLeftCell="A7" workbookViewId="0">
      <selection activeCell="I19" sqref="A19:I20"/>
    </sheetView>
  </sheetViews>
  <sheetFormatPr baseColWidth="10" defaultRowHeight="15" x14ac:dyDescent="0.25"/>
  <cols>
    <col min="1" max="1" width="2.5703125" customWidth="1"/>
    <col min="2" max="2" width="3.7109375" customWidth="1"/>
    <col min="6" max="6" width="20.7109375" customWidth="1"/>
    <col min="7" max="7" width="1.5703125" customWidth="1"/>
    <col min="8" max="8" width="15.7109375" style="27" bestFit="1" customWidth="1"/>
    <col min="9" max="9" width="15.7109375" style="27" customWidth="1"/>
    <col min="10" max="10" width="15.7109375" style="27" bestFit="1" customWidth="1"/>
    <col min="11" max="12" width="16.7109375" bestFit="1" customWidth="1"/>
    <col min="13" max="13" width="20.5703125" customWidth="1"/>
    <col min="14" max="14" width="23.7109375" customWidth="1"/>
  </cols>
  <sheetData>
    <row r="1" spans="1:15" ht="15.75" thickBot="1" x14ac:dyDescent="0.3">
      <c r="A1" s="194"/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273" t="s">
        <v>746</v>
      </c>
      <c r="M1" s="194"/>
      <c r="N1" s="194"/>
      <c r="O1" s="194"/>
    </row>
    <row r="2" spans="1:15" ht="18.75" customHeight="1" thickBot="1" x14ac:dyDescent="0.35">
      <c r="A2" s="668" t="s">
        <v>687</v>
      </c>
      <c r="B2" s="669"/>
      <c r="C2" s="669"/>
      <c r="D2" s="669"/>
      <c r="E2" s="669"/>
      <c r="F2" s="669"/>
      <c r="G2" s="669"/>
      <c r="H2" s="669"/>
      <c r="I2" s="669"/>
      <c r="J2" s="670"/>
      <c r="K2" s="272">
        <f>J4+J14+J20+J23+J27+J28+J29+J30+J31+J32+J33+J35</f>
        <v>11860335.853076922</v>
      </c>
      <c r="L2" s="273">
        <f>11850000</f>
        <v>11850000</v>
      </c>
      <c r="M2" s="194"/>
      <c r="N2" s="194"/>
      <c r="O2" s="194"/>
    </row>
    <row r="3" spans="1:15" thickBot="1" x14ac:dyDescent="0.35">
      <c r="B3" s="187"/>
      <c r="C3" s="187"/>
      <c r="D3" s="187"/>
      <c r="E3" s="187"/>
      <c r="F3" s="187"/>
      <c r="G3" s="187"/>
      <c r="H3" s="186"/>
      <c r="I3" s="186"/>
      <c r="J3" s="271" t="s">
        <v>674</v>
      </c>
      <c r="K3" s="194"/>
      <c r="L3" s="194"/>
      <c r="M3" s="194"/>
      <c r="N3" s="194"/>
      <c r="O3" s="194"/>
    </row>
    <row r="4" spans="1:15" ht="15" customHeight="1" x14ac:dyDescent="0.25">
      <c r="A4" s="671" t="s">
        <v>672</v>
      </c>
      <c r="B4" s="671"/>
      <c r="C4" s="671"/>
      <c r="D4" s="671"/>
      <c r="E4" s="671"/>
      <c r="F4" s="671"/>
      <c r="G4" s="671"/>
      <c r="H4" s="671"/>
      <c r="I4" s="671"/>
      <c r="J4" s="188">
        <f>I5+I8+I13</f>
        <v>3554161</v>
      </c>
      <c r="K4" s="194"/>
      <c r="L4" s="194"/>
      <c r="M4" s="484" t="s">
        <v>675</v>
      </c>
      <c r="N4" s="485"/>
      <c r="O4" s="194"/>
    </row>
    <row r="5" spans="1:15" ht="15" customHeight="1" thickBot="1" x14ac:dyDescent="0.3">
      <c r="A5" s="194"/>
      <c r="B5" s="673" t="s">
        <v>673</v>
      </c>
      <c r="C5" s="673"/>
      <c r="D5" s="673"/>
      <c r="E5" s="673"/>
      <c r="F5" s="673"/>
      <c r="G5" s="673"/>
      <c r="H5" s="673"/>
      <c r="I5" s="191">
        <f>SUM(H6:H7)</f>
        <v>1164948</v>
      </c>
      <c r="J5" s="194"/>
      <c r="K5" s="194"/>
      <c r="L5" s="194"/>
      <c r="M5" s="506" t="s">
        <v>679</v>
      </c>
      <c r="N5" s="507"/>
      <c r="O5" s="194"/>
    </row>
    <row r="6" spans="1:15" ht="15.75" thickBot="1" x14ac:dyDescent="0.3">
      <c r="A6" s="194"/>
      <c r="B6" s="194"/>
      <c r="C6" s="482" t="s">
        <v>233</v>
      </c>
      <c r="D6" s="482"/>
      <c r="E6" s="482"/>
      <c r="F6" s="482"/>
      <c r="G6" s="482"/>
      <c r="H6" s="193">
        <f>SUM('TABLA GENERAL FASE 1 Y 2'!S5:S15)</f>
        <v>417551</v>
      </c>
      <c r="I6" s="194"/>
      <c r="J6" s="194"/>
      <c r="K6" s="194"/>
      <c r="L6" s="194"/>
      <c r="M6" s="261" t="s">
        <v>676</v>
      </c>
      <c r="N6" s="261" t="s">
        <v>677</v>
      </c>
      <c r="O6" s="194"/>
    </row>
    <row r="7" spans="1:15" ht="15" customHeight="1" x14ac:dyDescent="0.25">
      <c r="A7" s="194"/>
      <c r="B7" s="194"/>
      <c r="C7" s="483" t="s">
        <v>256</v>
      </c>
      <c r="D7" s="483"/>
      <c r="E7" s="483"/>
      <c r="F7" s="483"/>
      <c r="G7" s="483"/>
      <c r="H7" s="192">
        <f>SUM('TABLA GENERAL FASE 1 Y 2'!S16:S22)</f>
        <v>747397</v>
      </c>
      <c r="I7" s="194"/>
      <c r="J7" s="194"/>
      <c r="K7" s="194"/>
      <c r="L7" s="194"/>
      <c r="M7" s="508" t="s">
        <v>680</v>
      </c>
      <c r="N7" s="509"/>
      <c r="O7" s="194"/>
    </row>
    <row r="8" spans="1:15" ht="15.75" customHeight="1" thickBot="1" x14ac:dyDescent="0.3">
      <c r="A8" s="194"/>
      <c r="B8" s="672" t="s">
        <v>682</v>
      </c>
      <c r="C8" s="672"/>
      <c r="D8" s="672"/>
      <c r="E8" s="672"/>
      <c r="F8" s="672"/>
      <c r="G8" s="672"/>
      <c r="H8" s="672"/>
      <c r="I8" s="189">
        <f>SUM(H9:H12)</f>
        <v>1538314</v>
      </c>
      <c r="J8" s="194"/>
      <c r="K8" s="194"/>
      <c r="L8" s="194"/>
      <c r="M8" s="510"/>
      <c r="N8" s="511"/>
      <c r="O8" s="194"/>
    </row>
    <row r="9" spans="1:15" ht="14.45" x14ac:dyDescent="0.3">
      <c r="A9" s="195"/>
      <c r="B9" s="194"/>
      <c r="C9" s="482" t="s">
        <v>271</v>
      </c>
      <c r="D9" s="482"/>
      <c r="E9" s="482"/>
      <c r="F9" s="482"/>
      <c r="G9" s="482"/>
      <c r="H9" s="193">
        <f>SUM('TABLA GENERAL FASE 1 Y 2'!S23:S26)</f>
        <v>877797</v>
      </c>
      <c r="I9" s="194"/>
      <c r="J9" s="194"/>
      <c r="K9" s="194"/>
      <c r="L9" s="194"/>
      <c r="M9" s="262">
        <v>2021</v>
      </c>
      <c r="N9" s="263">
        <v>2550000</v>
      </c>
      <c r="O9" s="194"/>
    </row>
    <row r="10" spans="1:15" x14ac:dyDescent="0.25">
      <c r="A10" s="195"/>
      <c r="B10" s="194"/>
      <c r="C10" s="483" t="s">
        <v>280</v>
      </c>
      <c r="D10" s="483"/>
      <c r="E10" s="483"/>
      <c r="F10" s="483"/>
      <c r="G10" s="483"/>
      <c r="H10" s="192">
        <f>SUM('TABLA GENERAL FASE 1 Y 2'!S27:S28)</f>
        <v>63233</v>
      </c>
      <c r="I10" s="194"/>
      <c r="J10" s="194"/>
      <c r="K10" s="194"/>
      <c r="L10" s="194"/>
      <c r="M10" s="264">
        <v>2022</v>
      </c>
      <c r="N10" s="265">
        <v>2500000</v>
      </c>
      <c r="O10" s="194"/>
    </row>
    <row r="11" spans="1:15" ht="14.45" x14ac:dyDescent="0.3">
      <c r="A11" s="195"/>
      <c r="B11" s="194"/>
      <c r="C11" s="483" t="s">
        <v>285</v>
      </c>
      <c r="D11" s="483"/>
      <c r="E11" s="483"/>
      <c r="F11" s="483"/>
      <c r="G11" s="483"/>
      <c r="H11" s="192">
        <f>SUM('TABLA GENERAL FASE 1 Y 2'!S29:S30)</f>
        <v>409798</v>
      </c>
      <c r="I11" s="194"/>
      <c r="J11" s="194"/>
      <c r="K11" s="194"/>
      <c r="L11" s="194"/>
      <c r="M11" s="264">
        <v>2023</v>
      </c>
      <c r="N11" s="265">
        <v>2500000</v>
      </c>
      <c r="O11" s="194"/>
    </row>
    <row r="12" spans="1:15" ht="14.45" x14ac:dyDescent="0.3">
      <c r="A12" s="195"/>
      <c r="B12" s="194"/>
      <c r="C12" s="483" t="s">
        <v>290</v>
      </c>
      <c r="D12" s="483"/>
      <c r="E12" s="483"/>
      <c r="F12" s="483"/>
      <c r="G12" s="483"/>
      <c r="H12" s="192">
        <f>SUM('TABLA GENERAL FASE 1 Y 2'!S31:S33)</f>
        <v>187486</v>
      </c>
      <c r="I12" s="194"/>
      <c r="J12" s="194"/>
      <c r="K12" s="194"/>
      <c r="L12" s="194"/>
      <c r="M12" s="264">
        <v>2025</v>
      </c>
      <c r="N12" s="265">
        <v>4300000</v>
      </c>
      <c r="O12" s="194"/>
    </row>
    <row r="13" spans="1:15" ht="15.75" thickBot="1" x14ac:dyDescent="0.3">
      <c r="A13" s="195"/>
      <c r="B13" s="672" t="s">
        <v>297</v>
      </c>
      <c r="C13" s="672"/>
      <c r="D13" s="672"/>
      <c r="E13" s="672"/>
      <c r="F13" s="672"/>
      <c r="G13" s="672"/>
      <c r="H13" s="672"/>
      <c r="I13" s="189">
        <f>SUM('TABLA GENERAL FASE 1 Y 2'!S34:S38)</f>
        <v>850899</v>
      </c>
      <c r="J13" s="194"/>
      <c r="K13" s="194"/>
      <c r="L13" s="194"/>
      <c r="M13" s="266" t="s">
        <v>678</v>
      </c>
      <c r="N13" s="267">
        <f>SUM(N9:N12)</f>
        <v>11850000</v>
      </c>
      <c r="O13" s="194"/>
    </row>
    <row r="14" spans="1:15" thickBot="1" x14ac:dyDescent="0.35">
      <c r="A14" s="671" t="s">
        <v>310</v>
      </c>
      <c r="B14" s="671"/>
      <c r="C14" s="671"/>
      <c r="D14" s="671"/>
      <c r="E14" s="671"/>
      <c r="F14" s="671"/>
      <c r="G14" s="671"/>
      <c r="H14" s="671"/>
      <c r="I14" s="671"/>
      <c r="J14" s="188">
        <f>I15+I16+I17</f>
        <v>3335223.4515384613</v>
      </c>
      <c r="K14" s="194"/>
      <c r="L14" s="194"/>
      <c r="M14" s="503" t="s">
        <v>683</v>
      </c>
      <c r="N14" s="504"/>
      <c r="O14" s="194"/>
    </row>
    <row r="15" spans="1:15" ht="14.45" x14ac:dyDescent="0.3">
      <c r="A15" s="195"/>
      <c r="B15" s="673" t="s">
        <v>311</v>
      </c>
      <c r="C15" s="673"/>
      <c r="D15" s="673"/>
      <c r="E15" s="673"/>
      <c r="F15" s="673"/>
      <c r="G15" s="673"/>
      <c r="H15" s="673"/>
      <c r="I15" s="191">
        <f>SUM('TABLA GENERAL FASE 1 Y 2'!S44:S56)</f>
        <v>1116128.7</v>
      </c>
      <c r="J15" s="194"/>
      <c r="K15" s="194"/>
      <c r="L15" s="194"/>
      <c r="M15" s="183">
        <v>2021</v>
      </c>
      <c r="N15" s="182">
        <f>'CCV TOTAL'!E10</f>
        <v>0</v>
      </c>
      <c r="O15" s="194"/>
    </row>
    <row r="16" spans="1:15" ht="14.45" x14ac:dyDescent="0.3">
      <c r="A16" s="195"/>
      <c r="B16" s="672" t="s">
        <v>332</v>
      </c>
      <c r="C16" s="672"/>
      <c r="D16" s="672"/>
      <c r="E16" s="672"/>
      <c r="F16" s="672"/>
      <c r="G16" s="672"/>
      <c r="H16" s="672"/>
      <c r="I16" s="189">
        <f>SUM('TABLA GENERAL FASE 1 Y 2'!S57:S102)</f>
        <v>154864.12153846159</v>
      </c>
      <c r="J16" s="194"/>
      <c r="K16" s="194"/>
      <c r="L16" s="194"/>
      <c r="M16" s="181">
        <v>2022</v>
      </c>
      <c r="N16" s="182">
        <f>'CCV TOTAL'!F10</f>
        <v>83186.603999999992</v>
      </c>
      <c r="O16" s="194"/>
    </row>
    <row r="17" spans="1:15" ht="14.45" x14ac:dyDescent="0.3">
      <c r="A17" s="195"/>
      <c r="B17" s="672" t="s">
        <v>424</v>
      </c>
      <c r="C17" s="672"/>
      <c r="D17" s="672"/>
      <c r="E17" s="672"/>
      <c r="F17" s="672"/>
      <c r="G17" s="672"/>
      <c r="H17" s="672"/>
      <c r="I17" s="189">
        <f>H18+H19</f>
        <v>2064230.63</v>
      </c>
      <c r="J17" s="194"/>
      <c r="K17" s="194"/>
      <c r="L17" s="194"/>
      <c r="M17" s="181">
        <v>2023</v>
      </c>
      <c r="N17" s="182">
        <f>'CCV TOTAL'!G10</f>
        <v>98014.436549999999</v>
      </c>
      <c r="O17" s="194"/>
    </row>
    <row r="18" spans="1:15" ht="14.45" x14ac:dyDescent="0.3">
      <c r="A18" s="195"/>
      <c r="B18" s="195"/>
      <c r="C18" s="482" t="s">
        <v>425</v>
      </c>
      <c r="D18" s="482"/>
      <c r="E18" s="482"/>
      <c r="F18" s="482"/>
      <c r="G18" s="482"/>
      <c r="H18" s="193">
        <f>SUM('TABLA GENERAL FASE 1 Y 2'!S104:S121)</f>
        <v>1683929.88</v>
      </c>
      <c r="I18" s="194"/>
      <c r="J18" s="194"/>
      <c r="K18" s="194"/>
      <c r="L18" s="194"/>
      <c r="M18" s="181">
        <v>2024</v>
      </c>
      <c r="N18" s="182">
        <f>'CCV TOTAL'!H10</f>
        <v>181599.31354999996</v>
      </c>
      <c r="O18" s="194"/>
    </row>
    <row r="19" spans="1:15" x14ac:dyDescent="0.25">
      <c r="A19" s="195"/>
      <c r="B19" s="195"/>
      <c r="C19" s="483" t="s">
        <v>720</v>
      </c>
      <c r="D19" s="483"/>
      <c r="E19" s="483"/>
      <c r="F19" s="483"/>
      <c r="G19" s="483"/>
      <c r="H19" s="192">
        <f>SUM('TABLA GENERAL FASE 1 Y 2'!S122:S131)</f>
        <v>380300.75</v>
      </c>
      <c r="I19" s="194"/>
      <c r="J19" s="194"/>
      <c r="K19" s="194"/>
      <c r="L19" s="194"/>
      <c r="M19" s="181">
        <v>2025</v>
      </c>
      <c r="N19" s="182">
        <f>'CCV TOTAL'!I10</f>
        <v>118623.80840000001</v>
      </c>
      <c r="O19" s="194"/>
    </row>
    <row r="20" spans="1:15" x14ac:dyDescent="0.25">
      <c r="A20" s="671" t="s">
        <v>474</v>
      </c>
      <c r="B20" s="671"/>
      <c r="C20" s="671"/>
      <c r="D20" s="671"/>
      <c r="E20" s="671"/>
      <c r="F20" s="671"/>
      <c r="G20" s="671"/>
      <c r="H20" s="671"/>
      <c r="I20" s="671"/>
      <c r="J20" s="188">
        <f>I21+I22</f>
        <v>767924.4615384615</v>
      </c>
      <c r="K20" s="194"/>
      <c r="L20" s="194"/>
      <c r="M20" s="181">
        <v>2026</v>
      </c>
      <c r="N20" s="182">
        <f>'CCV TOTAL'!J10</f>
        <v>179622.301679</v>
      </c>
      <c r="O20" s="194"/>
    </row>
    <row r="21" spans="1:15" ht="14.45" x14ac:dyDescent="0.3">
      <c r="A21" s="195"/>
      <c r="B21" s="673" t="s">
        <v>475</v>
      </c>
      <c r="C21" s="673"/>
      <c r="D21" s="673"/>
      <c r="E21" s="673"/>
      <c r="F21" s="673"/>
      <c r="G21" s="673"/>
      <c r="H21" s="673"/>
      <c r="I21" s="191">
        <f>SUM('TABLA GENERAL FASE 1 Y 2'!S137:S160)</f>
        <v>647628.4615384615</v>
      </c>
      <c r="J21" s="194"/>
      <c r="K21" s="194"/>
      <c r="L21" s="194"/>
      <c r="M21" s="181">
        <v>2027</v>
      </c>
      <c r="N21" s="182">
        <f>'CCV TOTAL'!K10</f>
        <v>184460.65137447004</v>
      </c>
      <c r="O21" s="194"/>
    </row>
    <row r="22" spans="1:15" ht="14.45" x14ac:dyDescent="0.3">
      <c r="A22" s="195"/>
      <c r="B22" s="672" t="s">
        <v>511</v>
      </c>
      <c r="C22" s="672"/>
      <c r="D22" s="672"/>
      <c r="E22" s="672"/>
      <c r="F22" s="672"/>
      <c r="G22" s="672"/>
      <c r="H22" s="672"/>
      <c r="I22" s="189">
        <f>SUM('TABLA GENERAL FASE 1 Y 2'!S161:S166)</f>
        <v>120296</v>
      </c>
      <c r="J22" s="194"/>
      <c r="K22" s="194"/>
      <c r="L22" s="194"/>
      <c r="M22" s="181">
        <v>2028</v>
      </c>
      <c r="N22" s="182">
        <f>'CCV TOTAL'!L10</f>
        <v>192338.93143580412</v>
      </c>
      <c r="O22" s="194"/>
    </row>
    <row r="23" spans="1:15" x14ac:dyDescent="0.25">
      <c r="A23" s="671" t="s">
        <v>518</v>
      </c>
      <c r="B23" s="671"/>
      <c r="C23" s="671"/>
      <c r="D23" s="671"/>
      <c r="E23" s="671"/>
      <c r="F23" s="671"/>
      <c r="G23" s="671"/>
      <c r="H23" s="671"/>
      <c r="I23" s="671"/>
      <c r="J23" s="188">
        <f>I24+I25+I26</f>
        <v>2584917.54</v>
      </c>
      <c r="K23" s="194"/>
      <c r="L23" s="194"/>
      <c r="M23" s="181">
        <v>2029</v>
      </c>
      <c r="N23" s="182">
        <f>'CCV TOTAL'!M10</f>
        <v>184982.03500247825</v>
      </c>
      <c r="O23" s="194"/>
    </row>
    <row r="24" spans="1:15" x14ac:dyDescent="0.25">
      <c r="A24" s="195"/>
      <c r="B24" s="673" t="s">
        <v>519</v>
      </c>
      <c r="C24" s="673"/>
      <c r="D24" s="673"/>
      <c r="E24" s="673"/>
      <c r="F24" s="673"/>
      <c r="G24" s="673"/>
      <c r="H24" s="673"/>
      <c r="I24" s="191">
        <f>SUM('TABLA GENERAL FASE 1 Y 2'!S172:S179)</f>
        <v>869189.24</v>
      </c>
      <c r="J24" s="194"/>
      <c r="K24" s="194"/>
      <c r="L24" s="194"/>
      <c r="M24" s="181">
        <v>2030</v>
      </c>
      <c r="N24" s="182">
        <f>'CCV TOTAL'!N10</f>
        <v>190078.12250765256</v>
      </c>
      <c r="O24" s="194"/>
    </row>
    <row r="25" spans="1:15" x14ac:dyDescent="0.25">
      <c r="A25" s="195"/>
      <c r="B25" s="672" t="s">
        <v>721</v>
      </c>
      <c r="C25" s="672"/>
      <c r="D25" s="672"/>
      <c r="E25" s="672"/>
      <c r="F25" s="672"/>
      <c r="G25" s="672"/>
      <c r="H25" s="672"/>
      <c r="I25" s="189">
        <f>SUM('TABLA GENERAL FASE 1 Y 2'!S180:S191)</f>
        <v>1482533</v>
      </c>
      <c r="J25" s="194"/>
      <c r="K25" s="194"/>
      <c r="L25" s="194"/>
      <c r="M25" s="181">
        <v>2031</v>
      </c>
      <c r="N25" s="182">
        <f>'CCV TOTAL'!O10</f>
        <v>195785.23145798215</v>
      </c>
      <c r="O25" s="194"/>
    </row>
    <row r="26" spans="1:15" ht="14.45" x14ac:dyDescent="0.3">
      <c r="A26" s="195"/>
      <c r="B26" s="672" t="s">
        <v>531</v>
      </c>
      <c r="C26" s="672"/>
      <c r="D26" s="672"/>
      <c r="E26" s="672"/>
      <c r="F26" s="672"/>
      <c r="G26" s="672"/>
      <c r="H26" s="672"/>
      <c r="I26" s="189">
        <f>SUM('TABLA GENERAL FASE 1 Y 2'!S192:S197)</f>
        <v>233195.3</v>
      </c>
      <c r="J26" s="194"/>
      <c r="K26" s="194"/>
      <c r="L26" s="194"/>
      <c r="M26" s="181">
        <v>2032</v>
      </c>
      <c r="N26" s="182">
        <f>'CCV TOTAL'!P10</f>
        <v>183032.68821042165</v>
      </c>
      <c r="O26" s="194"/>
    </row>
    <row r="27" spans="1:15" ht="15" customHeight="1" x14ac:dyDescent="0.25">
      <c r="A27" s="671" t="s">
        <v>536</v>
      </c>
      <c r="B27" s="671"/>
      <c r="C27" s="671"/>
      <c r="D27" s="671"/>
      <c r="E27" s="671"/>
      <c r="F27" s="671"/>
      <c r="G27" s="671"/>
      <c r="H27" s="671"/>
      <c r="I27" s="671"/>
      <c r="J27" s="188">
        <f>SUM('TABLA GENERAL FASE 1 Y 2'!S202:S211)</f>
        <v>524362</v>
      </c>
      <c r="K27" s="194"/>
      <c r="L27" s="194"/>
      <c r="M27" s="181">
        <v>2033</v>
      </c>
      <c r="N27" s="182">
        <f>'CCV TOTAL'!Q10</f>
        <v>183979.0186768343</v>
      </c>
      <c r="O27" s="194"/>
    </row>
    <row r="28" spans="1:15" ht="15" customHeight="1" x14ac:dyDescent="0.25">
      <c r="A28" s="671" t="s">
        <v>551</v>
      </c>
      <c r="B28" s="671"/>
      <c r="C28" s="671"/>
      <c r="D28" s="671"/>
      <c r="E28" s="671"/>
      <c r="F28" s="671"/>
      <c r="G28" s="671"/>
      <c r="H28" s="671"/>
      <c r="I28" s="671"/>
      <c r="J28" s="188">
        <f>SUM('TABLA GENERAL FASE 1 Y 2'!S216)</f>
        <v>5000</v>
      </c>
      <c r="K28" s="194"/>
      <c r="L28" s="194"/>
      <c r="M28" s="181">
        <v>2034</v>
      </c>
      <c r="N28" s="182">
        <f>'CCV TOTAL'!R10</f>
        <v>161924.41300723929</v>
      </c>
      <c r="O28" s="194"/>
    </row>
    <row r="29" spans="1:15" x14ac:dyDescent="0.25">
      <c r="A29" s="671" t="s">
        <v>555</v>
      </c>
      <c r="B29" s="671"/>
      <c r="C29" s="671"/>
      <c r="D29" s="671"/>
      <c r="E29" s="671"/>
      <c r="F29" s="671"/>
      <c r="G29" s="671"/>
      <c r="H29" s="671"/>
      <c r="I29" s="671"/>
      <c r="J29" s="188">
        <f>SUM('TABLA GENERAL FASE 1 Y 2'!S221:S231)</f>
        <v>111245.56</v>
      </c>
      <c r="K29" s="194"/>
      <c r="L29" s="194"/>
      <c r="M29" s="181">
        <v>2035</v>
      </c>
      <c r="N29" s="182">
        <f>'CCV TOTAL'!S10</f>
        <v>197162.49100255646</v>
      </c>
      <c r="O29" s="194"/>
    </row>
    <row r="30" spans="1:15" x14ac:dyDescent="0.25">
      <c r="A30" s="671" t="s">
        <v>573</v>
      </c>
      <c r="B30" s="671"/>
      <c r="C30" s="671"/>
      <c r="D30" s="671"/>
      <c r="E30" s="671"/>
      <c r="F30" s="671"/>
      <c r="G30" s="671"/>
      <c r="H30" s="671"/>
      <c r="I30" s="671"/>
      <c r="J30" s="188">
        <f>SUM('TABLA GENERAL FASE 1 Y 2'!S237:S239)</f>
        <v>263522</v>
      </c>
      <c r="K30" s="194"/>
      <c r="L30" s="194"/>
      <c r="M30" s="181">
        <v>2036</v>
      </c>
      <c r="N30" s="182">
        <f>'CCV TOTAL'!T10</f>
        <v>200991.89565773317</v>
      </c>
      <c r="O30" s="194"/>
    </row>
    <row r="31" spans="1:15" ht="15" customHeight="1" x14ac:dyDescent="0.25">
      <c r="A31" s="671" t="s">
        <v>576</v>
      </c>
      <c r="B31" s="671"/>
      <c r="C31" s="671"/>
      <c r="D31" s="671"/>
      <c r="E31" s="671"/>
      <c r="F31" s="671"/>
      <c r="G31" s="671"/>
      <c r="H31" s="671"/>
      <c r="I31" s="671"/>
      <c r="J31" s="188">
        <f>SUM('TABLA GENERAL FASE 1 Y 2'!S244)</f>
        <v>172012</v>
      </c>
      <c r="K31" s="194"/>
      <c r="L31" s="194"/>
      <c r="M31" s="181">
        <v>2037</v>
      </c>
      <c r="N31" s="182">
        <f>'CCV TOTAL'!U10</f>
        <v>190572.6623361652</v>
      </c>
      <c r="O31" s="194"/>
    </row>
    <row r="32" spans="1:15" ht="15" customHeight="1" x14ac:dyDescent="0.25">
      <c r="A32" s="671" t="s">
        <v>579</v>
      </c>
      <c r="B32" s="671"/>
      <c r="C32" s="671"/>
      <c r="D32" s="671"/>
      <c r="E32" s="671"/>
      <c r="F32" s="671"/>
      <c r="G32" s="671"/>
      <c r="H32" s="671"/>
      <c r="I32" s="671"/>
      <c r="J32" s="188">
        <f>SUM('TABLA GENERAL FASE 1 Y 2'!S249)</f>
        <v>90850</v>
      </c>
      <c r="K32" s="194"/>
      <c r="L32" s="194"/>
      <c r="M32" s="181">
        <v>2038</v>
      </c>
      <c r="N32" s="182">
        <f>'CCV TOTAL'!V10</f>
        <v>192793.87117635016</v>
      </c>
      <c r="O32" s="194"/>
    </row>
    <row r="33" spans="1:15" ht="15" customHeight="1" x14ac:dyDescent="0.25">
      <c r="A33" s="671" t="s">
        <v>582</v>
      </c>
      <c r="B33" s="671"/>
      <c r="C33" s="671"/>
      <c r="D33" s="671"/>
      <c r="E33" s="671"/>
      <c r="F33" s="671"/>
      <c r="G33" s="671"/>
      <c r="H33" s="671"/>
      <c r="I33" s="671"/>
      <c r="J33" s="188">
        <f>I34</f>
        <v>389449.83999999997</v>
      </c>
      <c r="K33" s="194"/>
      <c r="L33" s="194"/>
      <c r="M33" s="181">
        <v>2039</v>
      </c>
      <c r="N33" s="182">
        <f>'CCV TOTAL'!W10</f>
        <v>169603.08493174062</v>
      </c>
      <c r="O33" s="194"/>
    </row>
    <row r="34" spans="1:15" x14ac:dyDescent="0.25">
      <c r="A34" s="195"/>
      <c r="B34" s="674" t="s">
        <v>206</v>
      </c>
      <c r="C34" s="674"/>
      <c r="D34" s="674"/>
      <c r="E34" s="674"/>
      <c r="F34" s="674"/>
      <c r="G34" s="674"/>
      <c r="H34" s="674"/>
      <c r="I34" s="190">
        <f>SUM('TABLA GENERAL FASE 1 Y 2'!S254:S257)</f>
        <v>389449.83999999997</v>
      </c>
      <c r="J34" s="194"/>
      <c r="K34" s="194"/>
      <c r="L34" s="194"/>
      <c r="M34" s="181">
        <v>2040</v>
      </c>
      <c r="N34" s="182">
        <f>'CCV TOTAL'!X10</f>
        <v>148731.54254479287</v>
      </c>
      <c r="O34" s="194"/>
    </row>
    <row r="35" spans="1:15" ht="15" customHeight="1" x14ac:dyDescent="0.25">
      <c r="A35" s="671" t="s">
        <v>587</v>
      </c>
      <c r="B35" s="671"/>
      <c r="C35" s="671"/>
      <c r="D35" s="671"/>
      <c r="E35" s="671"/>
      <c r="F35" s="671"/>
      <c r="G35" s="671"/>
      <c r="H35" s="671"/>
      <c r="I35" s="671"/>
      <c r="J35" s="188">
        <f>SUM('TABLA GENERAL FASE 1 Y 2'!S262:S266)</f>
        <v>61668</v>
      </c>
      <c r="K35" s="194"/>
      <c r="L35" s="194"/>
      <c r="M35" s="181">
        <v>2041</v>
      </c>
      <c r="N35" s="182">
        <f>'CCV TOTAL'!Y10</f>
        <v>57592.245415000012</v>
      </c>
      <c r="O35" s="194"/>
    </row>
    <row r="36" spans="1:15" x14ac:dyDescent="0.25">
      <c r="A36" s="194"/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81">
        <v>2042</v>
      </c>
      <c r="N36" s="182">
        <f>'CCV TOTAL'!Z10</f>
        <v>22462.995999999999</v>
      </c>
      <c r="O36" s="194"/>
    </row>
    <row r="37" spans="1:15" x14ac:dyDescent="0.25">
      <c r="A37" s="194"/>
      <c r="B37" s="194"/>
      <c r="C37" s="194"/>
      <c r="D37" s="194"/>
      <c r="E37" s="194"/>
      <c r="F37" s="194"/>
      <c r="G37" s="194"/>
      <c r="H37" s="194"/>
      <c r="I37" s="194"/>
      <c r="J37" s="194"/>
      <c r="K37" s="274">
        <f>+J32+J28+J29+J27+J14</f>
        <v>4066681.0115384613</v>
      </c>
      <c r="L37" s="194"/>
      <c r="M37" s="181">
        <v>2043</v>
      </c>
      <c r="N37" s="182">
        <f>'CCV TOTAL'!AA10</f>
        <v>27709.196</v>
      </c>
      <c r="O37" s="194"/>
    </row>
    <row r="38" spans="1:15" x14ac:dyDescent="0.25">
      <c r="A38" s="194"/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81">
        <v>2044</v>
      </c>
      <c r="N38" s="182">
        <f>'CCV TOTAL'!AB10</f>
        <v>18230.595999999998</v>
      </c>
      <c r="O38" s="194"/>
    </row>
    <row r="39" spans="1:15" x14ac:dyDescent="0.25">
      <c r="A39" s="194"/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81">
        <v>2045</v>
      </c>
      <c r="N39" s="182">
        <f>'CCV TOTAL'!AC10</f>
        <v>28185.196</v>
      </c>
      <c r="O39" s="194"/>
    </row>
    <row r="40" spans="1:15" ht="15" customHeight="1" x14ac:dyDescent="0.25">
      <c r="A40" s="194"/>
      <c r="B40" s="194"/>
      <c r="C40" s="194"/>
      <c r="D40" s="194"/>
      <c r="E40" s="194"/>
      <c r="F40" s="194"/>
      <c r="G40" s="194"/>
      <c r="H40" s="194"/>
      <c r="I40" s="194"/>
      <c r="J40" s="194"/>
      <c r="K40" s="194"/>
      <c r="L40" s="194"/>
      <c r="M40" s="181">
        <v>2046</v>
      </c>
      <c r="N40" s="182">
        <f>'CCV TOTAL'!AD10</f>
        <v>1405.5</v>
      </c>
      <c r="O40" s="194"/>
    </row>
    <row r="41" spans="1:15" ht="24.75" customHeight="1" thickBot="1" x14ac:dyDescent="0.3">
      <c r="A41" s="194"/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80" t="s">
        <v>681</v>
      </c>
      <c r="N41" s="184">
        <f>SUM(N15:N40)</f>
        <v>3393068.8329162202</v>
      </c>
      <c r="O41" s="194"/>
    </row>
    <row r="42" spans="1:15" ht="24.75" thickBot="1" x14ac:dyDescent="0.3">
      <c r="A42" s="194"/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79" t="s">
        <v>684</v>
      </c>
      <c r="N42" s="185">
        <f>N13+N41</f>
        <v>15243068.832916221</v>
      </c>
      <c r="O42" s="194"/>
    </row>
    <row r="43" spans="1:15" ht="15.75" customHeight="1" thickBot="1" x14ac:dyDescent="0.3">
      <c r="A43" s="194"/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</row>
    <row r="44" spans="1:15" ht="35.25" customHeight="1" thickBot="1" x14ac:dyDescent="0.3">
      <c r="A44" s="194"/>
      <c r="B44" s="194"/>
      <c r="C44" s="194"/>
      <c r="D44" s="194"/>
      <c r="E44" s="194"/>
      <c r="F44" s="194"/>
      <c r="G44" s="194"/>
      <c r="H44" s="194"/>
      <c r="I44" s="194"/>
      <c r="J44" s="194"/>
      <c r="K44" s="666" t="s">
        <v>724</v>
      </c>
      <c r="L44" s="667"/>
      <c r="M44" s="667"/>
      <c r="N44" s="268">
        <f>((N41/20)/K2)</f>
        <v>1.4304269604793519E-2</v>
      </c>
      <c r="O44" s="194"/>
    </row>
    <row r="45" spans="1:15" ht="15.75" thickBot="1" x14ac:dyDescent="0.3">
      <c r="A45" s="194"/>
      <c r="B45" s="194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</row>
    <row r="46" spans="1:15" ht="15.75" thickBot="1" x14ac:dyDescent="0.3">
      <c r="A46" s="194"/>
      <c r="B46" s="194"/>
      <c r="C46" s="194"/>
      <c r="D46" s="194"/>
      <c r="E46" s="194"/>
      <c r="F46" s="194"/>
      <c r="G46" s="194"/>
      <c r="H46" s="194"/>
      <c r="I46" s="194"/>
      <c r="J46" s="194"/>
      <c r="K46" s="666" t="s">
        <v>751</v>
      </c>
      <c r="L46" s="667"/>
      <c r="M46" s="667"/>
      <c r="N46" s="188">
        <f>AVERAGE(N15:N40)</f>
        <v>130502.64741985462</v>
      </c>
      <c r="O46" s="194"/>
    </row>
    <row r="47" spans="1:15" x14ac:dyDescent="0.25">
      <c r="A47" s="194"/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</row>
    <row r="48" spans="1:15" x14ac:dyDescent="0.25">
      <c r="A48" s="194"/>
      <c r="B48" s="194"/>
      <c r="C48" s="194"/>
      <c r="D48" s="194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</row>
    <row r="49" spans="1:15" x14ac:dyDescent="0.25">
      <c r="A49" s="194"/>
      <c r="B49" s="194"/>
      <c r="C49" s="194"/>
      <c r="D49" s="194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</row>
    <row r="50" spans="1:15" x14ac:dyDescent="0.25">
      <c r="A50" s="194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</row>
    <row r="51" spans="1:15" ht="15.75" thickBot="1" x14ac:dyDescent="0.3">
      <c r="A51" s="194"/>
      <c r="B51" s="194"/>
      <c r="C51" s="194"/>
      <c r="D51" s="194"/>
      <c r="E51" s="194"/>
      <c r="F51" s="194"/>
      <c r="G51" s="194"/>
      <c r="H51" s="194"/>
      <c r="I51" s="194"/>
      <c r="J51" s="194"/>
      <c r="K51" s="194"/>
    </row>
    <row r="52" spans="1:15" ht="15.75" customHeight="1" x14ac:dyDescent="0.25">
      <c r="M52" s="484" t="s">
        <v>675</v>
      </c>
      <c r="N52" s="485"/>
    </row>
    <row r="53" spans="1:15" ht="15.75" customHeight="1" thickBot="1" x14ac:dyDescent="0.3">
      <c r="M53" s="486" t="s">
        <v>679</v>
      </c>
      <c r="N53" s="487"/>
    </row>
    <row r="54" spans="1:15" ht="15.75" customHeight="1" thickBot="1" x14ac:dyDescent="0.3">
      <c r="M54" s="261" t="s">
        <v>676</v>
      </c>
      <c r="N54" s="261" t="s">
        <v>677</v>
      </c>
    </row>
    <row r="55" spans="1:15" ht="15" customHeight="1" x14ac:dyDescent="0.25">
      <c r="M55" s="488" t="s">
        <v>680</v>
      </c>
      <c r="N55" s="489"/>
    </row>
    <row r="56" spans="1:15" ht="15.75" customHeight="1" thickBot="1" x14ac:dyDescent="0.3">
      <c r="M56" s="490"/>
      <c r="N56" s="491"/>
    </row>
    <row r="57" spans="1:15" ht="15.75" customHeight="1" x14ac:dyDescent="0.25">
      <c r="M57" s="262">
        <v>2021</v>
      </c>
      <c r="N57" s="263">
        <v>2550000</v>
      </c>
    </row>
    <row r="58" spans="1:15" ht="15.75" customHeight="1" x14ac:dyDescent="0.25">
      <c r="M58" s="264">
        <v>2022</v>
      </c>
      <c r="N58" s="265">
        <v>2500000</v>
      </c>
    </row>
    <row r="59" spans="1:15" ht="15.75" customHeight="1" x14ac:dyDescent="0.25">
      <c r="M59" s="264">
        <v>2023</v>
      </c>
      <c r="N59" s="265">
        <v>2500000</v>
      </c>
    </row>
    <row r="60" spans="1:15" ht="15.75" customHeight="1" x14ac:dyDescent="0.25">
      <c r="M60" s="264">
        <v>2025</v>
      </c>
      <c r="N60" s="265">
        <v>4300000</v>
      </c>
    </row>
    <row r="61" spans="1:15" ht="15.75" customHeight="1" thickBot="1" x14ac:dyDescent="0.3">
      <c r="M61" s="266" t="s">
        <v>678</v>
      </c>
      <c r="N61" s="267">
        <f>SUM(N57:N60)</f>
        <v>11850000</v>
      </c>
    </row>
    <row r="62" spans="1:15" ht="15.75" customHeight="1" thickBot="1" x14ac:dyDescent="0.3">
      <c r="M62" s="492" t="s">
        <v>747</v>
      </c>
      <c r="N62" s="493"/>
    </row>
    <row r="63" spans="1:15" ht="15" customHeight="1" thickBot="1" x14ac:dyDescent="0.3">
      <c r="M63" s="261" t="s">
        <v>676</v>
      </c>
      <c r="N63" s="261" t="s">
        <v>677</v>
      </c>
    </row>
    <row r="64" spans="1:15" ht="15" customHeight="1" x14ac:dyDescent="0.25">
      <c r="M64" s="183">
        <v>2021</v>
      </c>
      <c r="N64" s="182">
        <f>N15</f>
        <v>0</v>
      </c>
    </row>
    <row r="65" spans="13:14" x14ac:dyDescent="0.25">
      <c r="M65" s="181">
        <v>2022</v>
      </c>
      <c r="N65" s="182">
        <f t="shared" ref="N65:N89" si="0">N16</f>
        <v>83186.603999999992</v>
      </c>
    </row>
    <row r="66" spans="13:14" x14ac:dyDescent="0.25">
      <c r="M66" s="181">
        <v>2023</v>
      </c>
      <c r="N66" s="182">
        <f t="shared" si="0"/>
        <v>98014.436549999999</v>
      </c>
    </row>
    <row r="67" spans="13:14" x14ac:dyDescent="0.25">
      <c r="M67" s="181">
        <v>2024</v>
      </c>
      <c r="N67" s="182">
        <f t="shared" si="0"/>
        <v>181599.31354999996</v>
      </c>
    </row>
    <row r="68" spans="13:14" x14ac:dyDescent="0.25">
      <c r="M68" s="181">
        <v>2025</v>
      </c>
      <c r="N68" s="182">
        <f t="shared" si="0"/>
        <v>118623.80840000001</v>
      </c>
    </row>
    <row r="69" spans="13:14" x14ac:dyDescent="0.25">
      <c r="M69" s="181">
        <v>2026</v>
      </c>
      <c r="N69" s="182">
        <f t="shared" si="0"/>
        <v>179622.301679</v>
      </c>
    </row>
    <row r="70" spans="13:14" ht="15" customHeight="1" x14ac:dyDescent="0.25">
      <c r="M70" s="181">
        <v>2027</v>
      </c>
      <c r="N70" s="182">
        <f t="shared" si="0"/>
        <v>184460.65137447004</v>
      </c>
    </row>
    <row r="71" spans="13:14" x14ac:dyDescent="0.25">
      <c r="M71" s="181">
        <v>2028</v>
      </c>
      <c r="N71" s="182">
        <f t="shared" si="0"/>
        <v>192338.93143580412</v>
      </c>
    </row>
    <row r="72" spans="13:14" x14ac:dyDescent="0.25">
      <c r="M72" s="181">
        <v>2029</v>
      </c>
      <c r="N72" s="182">
        <f t="shared" si="0"/>
        <v>184982.03500247825</v>
      </c>
    </row>
    <row r="73" spans="13:14" ht="15" customHeight="1" x14ac:dyDescent="0.25">
      <c r="M73" s="181">
        <v>2030</v>
      </c>
      <c r="N73" s="182">
        <f t="shared" si="0"/>
        <v>190078.12250765256</v>
      </c>
    </row>
    <row r="74" spans="13:14" x14ac:dyDescent="0.25">
      <c r="M74" s="181">
        <v>2031</v>
      </c>
      <c r="N74" s="182">
        <f t="shared" si="0"/>
        <v>195785.23145798215</v>
      </c>
    </row>
    <row r="75" spans="13:14" x14ac:dyDescent="0.25">
      <c r="M75" s="181">
        <v>2032</v>
      </c>
      <c r="N75" s="182">
        <f t="shared" si="0"/>
        <v>183032.68821042165</v>
      </c>
    </row>
    <row r="76" spans="13:14" x14ac:dyDescent="0.25">
      <c r="M76" s="181">
        <v>2033</v>
      </c>
      <c r="N76" s="182">
        <f t="shared" si="0"/>
        <v>183979.0186768343</v>
      </c>
    </row>
    <row r="77" spans="13:14" ht="15" customHeight="1" x14ac:dyDescent="0.25">
      <c r="M77" s="181">
        <v>2034</v>
      </c>
      <c r="N77" s="182">
        <f t="shared" si="0"/>
        <v>161924.41300723929</v>
      </c>
    </row>
    <row r="78" spans="13:14" ht="15" customHeight="1" x14ac:dyDescent="0.25">
      <c r="M78" s="181">
        <v>2035</v>
      </c>
      <c r="N78" s="182">
        <f t="shared" si="0"/>
        <v>197162.49100255646</v>
      </c>
    </row>
    <row r="79" spans="13:14" ht="15" customHeight="1" x14ac:dyDescent="0.25">
      <c r="M79" s="181">
        <v>2036</v>
      </c>
      <c r="N79" s="182">
        <f t="shared" si="0"/>
        <v>200991.89565773317</v>
      </c>
    </row>
    <row r="80" spans="13:14" ht="15" customHeight="1" x14ac:dyDescent="0.25">
      <c r="M80" s="181">
        <v>2037</v>
      </c>
      <c r="N80" s="182">
        <f t="shared" si="0"/>
        <v>190572.6623361652</v>
      </c>
    </row>
    <row r="81" spans="13:14" ht="15" customHeight="1" x14ac:dyDescent="0.25">
      <c r="M81" s="181">
        <v>2038</v>
      </c>
      <c r="N81" s="182">
        <f t="shared" si="0"/>
        <v>192793.87117635016</v>
      </c>
    </row>
    <row r="82" spans="13:14" ht="15" customHeight="1" x14ac:dyDescent="0.25">
      <c r="M82" s="181">
        <v>2039</v>
      </c>
      <c r="N82" s="182">
        <f t="shared" si="0"/>
        <v>169603.08493174062</v>
      </c>
    </row>
    <row r="83" spans="13:14" ht="15" customHeight="1" x14ac:dyDescent="0.25">
      <c r="M83" s="181">
        <v>2040</v>
      </c>
      <c r="N83" s="182">
        <f t="shared" si="0"/>
        <v>148731.54254479287</v>
      </c>
    </row>
    <row r="84" spans="13:14" x14ac:dyDescent="0.25">
      <c r="M84" s="181">
        <v>2041</v>
      </c>
      <c r="N84" s="182">
        <f t="shared" si="0"/>
        <v>57592.245415000012</v>
      </c>
    </row>
    <row r="85" spans="13:14" ht="15" customHeight="1" x14ac:dyDescent="0.25">
      <c r="M85" s="181">
        <v>2042</v>
      </c>
      <c r="N85" s="182">
        <f t="shared" si="0"/>
        <v>22462.995999999999</v>
      </c>
    </row>
    <row r="86" spans="13:14" x14ac:dyDescent="0.25">
      <c r="M86" s="181">
        <v>2043</v>
      </c>
      <c r="N86" s="182">
        <f t="shared" si="0"/>
        <v>27709.196</v>
      </c>
    </row>
    <row r="87" spans="13:14" x14ac:dyDescent="0.25">
      <c r="M87" s="181">
        <v>2044</v>
      </c>
      <c r="N87" s="182">
        <f t="shared" si="0"/>
        <v>18230.595999999998</v>
      </c>
    </row>
    <row r="88" spans="13:14" x14ac:dyDescent="0.25">
      <c r="M88" s="181">
        <v>2045</v>
      </c>
      <c r="N88" s="182">
        <f t="shared" si="0"/>
        <v>28185.196</v>
      </c>
    </row>
    <row r="89" spans="13:14" x14ac:dyDescent="0.25">
      <c r="M89" s="181">
        <v>2046</v>
      </c>
      <c r="N89" s="182">
        <f t="shared" si="0"/>
        <v>1405.5</v>
      </c>
    </row>
    <row r="90" spans="13:14" ht="24.75" thickBot="1" x14ac:dyDescent="0.3">
      <c r="M90" s="180" t="s">
        <v>681</v>
      </c>
      <c r="N90" s="184">
        <f>SUM(N64:N89)</f>
        <v>3393068.8329162202</v>
      </c>
    </row>
    <row r="91" spans="13:14" ht="24.75" thickBot="1" x14ac:dyDescent="0.3">
      <c r="M91" s="179" t="s">
        <v>684</v>
      </c>
      <c r="N91" s="185">
        <f>N61+N90</f>
        <v>15243068.832916221</v>
      </c>
    </row>
    <row r="94" spans="13:14" x14ac:dyDescent="0.25">
      <c r="M94" t="s">
        <v>751</v>
      </c>
      <c r="N94" s="283">
        <f>AVERAGE(N64:N89)</f>
        <v>130502.64741985462</v>
      </c>
    </row>
  </sheetData>
  <mergeCells count="43">
    <mergeCell ref="K44:M44"/>
    <mergeCell ref="A29:I29"/>
    <mergeCell ref="A30:I30"/>
    <mergeCell ref="B25:H25"/>
    <mergeCell ref="C19:G19"/>
    <mergeCell ref="B24:H24"/>
    <mergeCell ref="B22:H22"/>
    <mergeCell ref="B21:H21"/>
    <mergeCell ref="A27:I27"/>
    <mergeCell ref="A28:I28"/>
    <mergeCell ref="A31:I31"/>
    <mergeCell ref="A32:I32"/>
    <mergeCell ref="A33:I33"/>
    <mergeCell ref="A35:I35"/>
    <mergeCell ref="B34:H34"/>
    <mergeCell ref="C18:G18"/>
    <mergeCell ref="B17:H17"/>
    <mergeCell ref="B16:H16"/>
    <mergeCell ref="B15:H15"/>
    <mergeCell ref="B26:H26"/>
    <mergeCell ref="A20:I20"/>
    <mergeCell ref="A23:I23"/>
    <mergeCell ref="A2:J2"/>
    <mergeCell ref="M4:N4"/>
    <mergeCell ref="M5:N5"/>
    <mergeCell ref="M14:N14"/>
    <mergeCell ref="A4:I4"/>
    <mergeCell ref="A14:I14"/>
    <mergeCell ref="M7:N8"/>
    <mergeCell ref="B13:H13"/>
    <mergeCell ref="B8:H8"/>
    <mergeCell ref="B5:H5"/>
    <mergeCell ref="C10:G10"/>
    <mergeCell ref="C11:G11"/>
    <mergeCell ref="C12:G12"/>
    <mergeCell ref="C6:G6"/>
    <mergeCell ref="C7:G7"/>
    <mergeCell ref="C9:G9"/>
    <mergeCell ref="K46:M46"/>
    <mergeCell ref="M52:N52"/>
    <mergeCell ref="M53:N53"/>
    <mergeCell ref="M55:N56"/>
    <mergeCell ref="M62:N62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34"/>
  <sheetViews>
    <sheetView workbookViewId="0">
      <selection activeCell="D18" sqref="D18"/>
    </sheetView>
  </sheetViews>
  <sheetFormatPr baseColWidth="10" defaultColWidth="11.42578125" defaultRowHeight="15" outlineLevelRow="2" x14ac:dyDescent="0.25"/>
  <cols>
    <col min="1" max="1" width="49.28515625" style="138" customWidth="1"/>
    <col min="2" max="2" width="36.5703125" style="138" customWidth="1"/>
    <col min="3" max="3" width="23" style="173" customWidth="1"/>
    <col min="4" max="5" width="23" style="138" customWidth="1"/>
    <col min="6" max="26" width="22.7109375" style="138" customWidth="1"/>
    <col min="27" max="30" width="18.28515625" style="138" customWidth="1"/>
    <col min="31" max="31" width="12.7109375" style="138" bestFit="1" customWidth="1"/>
    <col min="32" max="16384" width="11.42578125" style="138"/>
  </cols>
  <sheetData>
    <row r="1" spans="1:31" ht="114.75" customHeight="1" x14ac:dyDescent="0.25">
      <c r="A1" s="675" t="s">
        <v>634</v>
      </c>
      <c r="B1" s="676"/>
      <c r="C1" s="134"/>
      <c r="D1" s="135"/>
      <c r="E1" s="135"/>
      <c r="F1" s="677"/>
      <c r="G1" s="678"/>
      <c r="H1" s="678"/>
      <c r="I1" s="678"/>
      <c r="J1" s="678"/>
      <c r="K1" s="678"/>
      <c r="L1" s="678"/>
      <c r="M1" s="678"/>
      <c r="N1" s="678"/>
      <c r="O1" s="678"/>
      <c r="P1" s="678"/>
      <c r="Q1" s="678"/>
      <c r="R1" s="678"/>
      <c r="S1" s="678"/>
      <c r="T1" s="679"/>
      <c r="U1" s="136"/>
      <c r="V1" s="137"/>
      <c r="W1" s="137"/>
      <c r="X1" s="137"/>
      <c r="Y1" s="137"/>
      <c r="Z1" s="136"/>
      <c r="AA1" s="137"/>
      <c r="AB1" s="137"/>
      <c r="AC1" s="137"/>
      <c r="AD1" s="137"/>
    </row>
    <row r="2" spans="1:31" ht="21" x14ac:dyDescent="0.25">
      <c r="A2" s="139"/>
      <c r="B2" s="135"/>
      <c r="C2" s="134"/>
      <c r="D2" s="135"/>
      <c r="E2" s="141" t="s">
        <v>637</v>
      </c>
      <c r="F2" s="141" t="s">
        <v>638</v>
      </c>
      <c r="G2" s="141" t="s">
        <v>639</v>
      </c>
      <c r="H2" s="141" t="s">
        <v>640</v>
      </c>
      <c r="I2" s="141" t="s">
        <v>641</v>
      </c>
      <c r="J2" s="141" t="s">
        <v>642</v>
      </c>
      <c r="K2" s="141" t="s">
        <v>643</v>
      </c>
      <c r="L2" s="141" t="s">
        <v>644</v>
      </c>
      <c r="M2" s="141" t="s">
        <v>645</v>
      </c>
      <c r="N2" s="141" t="s">
        <v>646</v>
      </c>
      <c r="O2" s="141" t="s">
        <v>647</v>
      </c>
      <c r="P2" s="141" t="s">
        <v>648</v>
      </c>
      <c r="Q2" s="141" t="s">
        <v>649</v>
      </c>
      <c r="R2" s="141" t="s">
        <v>650</v>
      </c>
      <c r="S2" s="141" t="s">
        <v>651</v>
      </c>
      <c r="T2" s="141" t="s">
        <v>652</v>
      </c>
      <c r="U2" s="141" t="s">
        <v>653</v>
      </c>
      <c r="V2" s="141" t="s">
        <v>654</v>
      </c>
      <c r="W2" s="141" t="s">
        <v>655</v>
      </c>
      <c r="X2" s="141" t="s">
        <v>656</v>
      </c>
      <c r="Y2" s="141" t="s">
        <v>657</v>
      </c>
      <c r="Z2" s="141" t="s">
        <v>658</v>
      </c>
      <c r="AA2" s="141" t="s">
        <v>659</v>
      </c>
      <c r="AB2" s="141" t="s">
        <v>660</v>
      </c>
      <c r="AC2" s="141" t="s">
        <v>661</v>
      </c>
      <c r="AD2" s="141" t="s">
        <v>662</v>
      </c>
    </row>
    <row r="3" spans="1:31" s="143" customFormat="1" x14ac:dyDescent="0.25">
      <c r="A3" s="141" t="s">
        <v>590</v>
      </c>
      <c r="B3" s="141" t="s">
        <v>591</v>
      </c>
      <c r="C3" s="142" t="s">
        <v>592</v>
      </c>
      <c r="D3" s="141" t="s">
        <v>593</v>
      </c>
      <c r="E3" s="141" t="s">
        <v>636</v>
      </c>
      <c r="F3" s="141" t="s">
        <v>594</v>
      </c>
      <c r="G3" s="141" t="s">
        <v>595</v>
      </c>
      <c r="H3" s="141" t="s">
        <v>596</v>
      </c>
      <c r="I3" s="141" t="s">
        <v>597</v>
      </c>
      <c r="J3" s="141" t="s">
        <v>598</v>
      </c>
      <c r="K3" s="141" t="s">
        <v>599</v>
      </c>
      <c r="L3" s="141" t="s">
        <v>600</v>
      </c>
      <c r="M3" s="141" t="s">
        <v>601</v>
      </c>
      <c r="N3" s="141" t="s">
        <v>602</v>
      </c>
      <c r="O3" s="141" t="s">
        <v>603</v>
      </c>
      <c r="P3" s="141" t="s">
        <v>604</v>
      </c>
      <c r="Q3" s="141" t="s">
        <v>605</v>
      </c>
      <c r="R3" s="141" t="s">
        <v>606</v>
      </c>
      <c r="S3" s="141" t="s">
        <v>607</v>
      </c>
      <c r="T3" s="141" t="s">
        <v>608</v>
      </c>
      <c r="U3" s="141" t="s">
        <v>609</v>
      </c>
      <c r="V3" s="141" t="s">
        <v>610</v>
      </c>
      <c r="W3" s="141" t="s">
        <v>611</v>
      </c>
      <c r="X3" s="141" t="s">
        <v>612</v>
      </c>
      <c r="Y3" s="141" t="s">
        <v>613</v>
      </c>
      <c r="Z3" s="141" t="s">
        <v>614</v>
      </c>
      <c r="AA3" s="141" t="s">
        <v>615</v>
      </c>
      <c r="AB3" s="141" t="s">
        <v>616</v>
      </c>
      <c r="AC3" s="141" t="s">
        <v>617</v>
      </c>
      <c r="AD3" s="141" t="s">
        <v>618</v>
      </c>
    </row>
    <row r="4" spans="1:31" thickBot="1" x14ac:dyDescent="0.35">
      <c r="A4" s="140"/>
      <c r="B4" s="140"/>
      <c r="C4" s="144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</row>
    <row r="5" spans="1:31" thickBot="1" x14ac:dyDescent="0.35">
      <c r="A5" s="145" t="s">
        <v>619</v>
      </c>
      <c r="B5" s="146"/>
      <c r="C5" s="147"/>
      <c r="D5" s="148">
        <f>SUM(E5:AD5)</f>
        <v>15253404.685993148</v>
      </c>
      <c r="E5" s="148">
        <f>E6+E7+E10+E17</f>
        <v>2559960.6</v>
      </c>
      <c r="F5" s="148">
        <f>F6+F7+F10+F17</f>
        <v>2667841.4939999999</v>
      </c>
      <c r="G5" s="148">
        <f t="shared" ref="G5:AD5" si="0">G6+G7+G10+G17</f>
        <v>2609639.6365500004</v>
      </c>
      <c r="H5" s="148">
        <f t="shared" si="0"/>
        <v>181599.31354999996</v>
      </c>
      <c r="I5" s="148">
        <f t="shared" si="0"/>
        <v>4322718.9714769237</v>
      </c>
      <c r="J5" s="148">
        <f t="shared" si="0"/>
        <v>179622.301679</v>
      </c>
      <c r="K5" s="148">
        <f t="shared" si="0"/>
        <v>184460.65137447004</v>
      </c>
      <c r="L5" s="148">
        <f t="shared" si="0"/>
        <v>192338.93143580412</v>
      </c>
      <c r="M5" s="148">
        <f t="shared" si="0"/>
        <v>184982.03500247825</v>
      </c>
      <c r="N5" s="148">
        <f t="shared" si="0"/>
        <v>190078.12250765256</v>
      </c>
      <c r="O5" s="148">
        <f t="shared" si="0"/>
        <v>195785.23145798215</v>
      </c>
      <c r="P5" s="148">
        <f t="shared" si="0"/>
        <v>183032.68821042165</v>
      </c>
      <c r="Q5" s="148">
        <f t="shared" si="0"/>
        <v>183979.0186768343</v>
      </c>
      <c r="R5" s="148">
        <f t="shared" si="0"/>
        <v>161924.41300723929</v>
      </c>
      <c r="S5" s="148">
        <f t="shared" si="0"/>
        <v>197162.49100255646</v>
      </c>
      <c r="T5" s="148">
        <f t="shared" si="0"/>
        <v>200991.89565773317</v>
      </c>
      <c r="U5" s="148">
        <f t="shared" si="0"/>
        <v>190572.6623361652</v>
      </c>
      <c r="V5" s="148">
        <f t="shared" si="0"/>
        <v>192793.87117635016</v>
      </c>
      <c r="W5" s="148">
        <f t="shared" si="0"/>
        <v>169603.08493174062</v>
      </c>
      <c r="X5" s="148">
        <f t="shared" si="0"/>
        <v>148731.54254479287</v>
      </c>
      <c r="Y5" s="148">
        <f t="shared" si="0"/>
        <v>57592.245415000012</v>
      </c>
      <c r="Z5" s="148">
        <f t="shared" si="0"/>
        <v>22462.995999999999</v>
      </c>
      <c r="AA5" s="148">
        <f t="shared" si="0"/>
        <v>27709.196</v>
      </c>
      <c r="AB5" s="148">
        <f t="shared" si="0"/>
        <v>18230.595999999998</v>
      </c>
      <c r="AC5" s="148">
        <f t="shared" si="0"/>
        <v>28185.196</v>
      </c>
      <c r="AD5" s="148">
        <f t="shared" si="0"/>
        <v>1405.5</v>
      </c>
    </row>
    <row r="6" spans="1:31" ht="15.75" thickBot="1" x14ac:dyDescent="0.3">
      <c r="A6" s="149" t="s">
        <v>620</v>
      </c>
      <c r="B6" s="146"/>
      <c r="C6" s="147"/>
      <c r="D6" s="150"/>
      <c r="E6" s="150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48"/>
      <c r="AA6" s="148"/>
      <c r="AB6" s="148"/>
      <c r="AC6" s="148"/>
      <c r="AD6" s="148"/>
    </row>
    <row r="7" spans="1:31" s="143" customFormat="1" ht="15.75" outlineLevel="1" thickBot="1" x14ac:dyDescent="0.3">
      <c r="A7" s="156" t="s">
        <v>621</v>
      </c>
      <c r="B7" s="157"/>
      <c r="C7" s="158"/>
      <c r="D7" s="159">
        <f>SUM(E7:AD7)</f>
        <v>11860335.853076924</v>
      </c>
      <c r="E7" s="159">
        <f>E8+E9</f>
        <v>2559960.6</v>
      </c>
      <c r="F7" s="159">
        <f t="shared" ref="F7:AD7" si="1">F8+F9</f>
        <v>2584654.89</v>
      </c>
      <c r="G7" s="159">
        <f t="shared" si="1"/>
        <v>2511625.2000000002</v>
      </c>
      <c r="H7" s="159">
        <f t="shared" si="1"/>
        <v>0</v>
      </c>
      <c r="I7" s="159">
        <f t="shared" si="1"/>
        <v>4204095.1630769232</v>
      </c>
      <c r="J7" s="159">
        <f t="shared" si="1"/>
        <v>0</v>
      </c>
      <c r="K7" s="159">
        <f t="shared" si="1"/>
        <v>0</v>
      </c>
      <c r="L7" s="159">
        <f t="shared" si="1"/>
        <v>0</v>
      </c>
      <c r="M7" s="159">
        <f t="shared" si="1"/>
        <v>0</v>
      </c>
      <c r="N7" s="159">
        <f t="shared" si="1"/>
        <v>0</v>
      </c>
      <c r="O7" s="159">
        <f t="shared" si="1"/>
        <v>0</v>
      </c>
      <c r="P7" s="159">
        <f t="shared" si="1"/>
        <v>0</v>
      </c>
      <c r="Q7" s="159">
        <f t="shared" si="1"/>
        <v>0</v>
      </c>
      <c r="R7" s="159">
        <f t="shared" si="1"/>
        <v>0</v>
      </c>
      <c r="S7" s="159">
        <f t="shared" si="1"/>
        <v>0</v>
      </c>
      <c r="T7" s="159">
        <f t="shared" si="1"/>
        <v>0</v>
      </c>
      <c r="U7" s="159">
        <f t="shared" si="1"/>
        <v>0</v>
      </c>
      <c r="V7" s="159">
        <f t="shared" si="1"/>
        <v>0</v>
      </c>
      <c r="W7" s="159">
        <f t="shared" si="1"/>
        <v>0</v>
      </c>
      <c r="X7" s="159">
        <f t="shared" si="1"/>
        <v>0</v>
      </c>
      <c r="Y7" s="159">
        <f t="shared" si="1"/>
        <v>0</v>
      </c>
      <c r="Z7" s="159">
        <f t="shared" si="1"/>
        <v>0</v>
      </c>
      <c r="AA7" s="159">
        <f t="shared" si="1"/>
        <v>0</v>
      </c>
      <c r="AB7" s="159">
        <f t="shared" si="1"/>
        <v>0</v>
      </c>
      <c r="AC7" s="159">
        <f t="shared" si="1"/>
        <v>0</v>
      </c>
      <c r="AD7" s="159">
        <f t="shared" si="1"/>
        <v>0</v>
      </c>
      <c r="AE7" s="160">
        <f>SUM(E7:AD7)</f>
        <v>11860335.853076924</v>
      </c>
    </row>
    <row r="8" spans="1:31" ht="30" customHeight="1" outlineLevel="2" x14ac:dyDescent="0.25">
      <c r="A8" s="161" t="s">
        <v>622</v>
      </c>
      <c r="B8" s="140" t="s">
        <v>663</v>
      </c>
      <c r="C8" s="144"/>
      <c r="D8" s="151">
        <f>SUM(F8:AD8)</f>
        <v>0</v>
      </c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  <c r="AA8" s="151"/>
      <c r="AB8" s="151"/>
      <c r="AC8" s="151"/>
      <c r="AD8" s="151"/>
    </row>
    <row r="9" spans="1:31" s="177" customFormat="1" ht="27" customHeight="1" outlineLevel="2" thickBot="1" x14ac:dyDescent="0.3">
      <c r="A9" s="175" t="s">
        <v>623</v>
      </c>
      <c r="B9" s="178" t="s">
        <v>669</v>
      </c>
      <c r="C9" s="176" t="s">
        <v>635</v>
      </c>
      <c r="D9" s="171">
        <f>SUM(E9:AD9)</f>
        <v>11860335.853076924</v>
      </c>
      <c r="E9" s="171">
        <f>'TABLA GENERAL FASE 1 Y 2'!K273</f>
        <v>2559960.6</v>
      </c>
      <c r="F9" s="171">
        <f>'TABLA GENERAL FASE 1 Y 2'!M273</f>
        <v>2584654.89</v>
      </c>
      <c r="G9" s="171">
        <f>'TABLA GENERAL FASE 1 Y 2'!O273</f>
        <v>2511625.2000000002</v>
      </c>
      <c r="H9" s="171">
        <f>'TABLA GENERAL FASE 1 Y 2'!N273</f>
        <v>0</v>
      </c>
      <c r="I9" s="177">
        <f>'TABLA GENERAL FASE 1 Y 2'!Q273</f>
        <v>4204095.1630769232</v>
      </c>
      <c r="J9" s="171">
        <v>0</v>
      </c>
      <c r="K9" s="171">
        <v>0</v>
      </c>
      <c r="L9" s="171">
        <v>0</v>
      </c>
      <c r="M9" s="171">
        <v>0</v>
      </c>
      <c r="N9" s="171">
        <v>0</v>
      </c>
      <c r="O9" s="171">
        <v>0</v>
      </c>
      <c r="P9" s="171">
        <v>0</v>
      </c>
      <c r="Q9" s="171">
        <v>0</v>
      </c>
      <c r="R9" s="171">
        <v>0</v>
      </c>
      <c r="S9" s="171">
        <v>0</v>
      </c>
      <c r="T9" s="171">
        <v>0</v>
      </c>
      <c r="U9" s="171">
        <v>0</v>
      </c>
      <c r="V9" s="171">
        <v>0</v>
      </c>
      <c r="W9" s="171">
        <v>0</v>
      </c>
      <c r="X9" s="171">
        <v>0</v>
      </c>
      <c r="Y9" s="171">
        <v>0</v>
      </c>
      <c r="Z9" s="171">
        <v>0</v>
      </c>
      <c r="AA9" s="171">
        <v>0</v>
      </c>
      <c r="AB9" s="171">
        <v>0</v>
      </c>
      <c r="AC9" s="171">
        <v>0</v>
      </c>
      <c r="AD9" s="171">
        <v>0</v>
      </c>
    </row>
    <row r="10" spans="1:31" s="143" customFormat="1" ht="15.75" thickBot="1" x14ac:dyDescent="0.3">
      <c r="A10" s="162" t="s">
        <v>625</v>
      </c>
      <c r="B10" s="163"/>
      <c r="C10" s="164"/>
      <c r="D10" s="165">
        <f>SUM(E10:AD10)</f>
        <v>3393068.8329162202</v>
      </c>
      <c r="E10" s="165"/>
      <c r="F10" s="166">
        <f>F11+F12+F13</f>
        <v>83186.603999999992</v>
      </c>
      <c r="G10" s="166">
        <f t="shared" ref="G10:AD10" si="2">G11+G12+G13</f>
        <v>98014.436549999999</v>
      </c>
      <c r="H10" s="166">
        <f t="shared" si="2"/>
        <v>181599.31354999996</v>
      </c>
      <c r="I10" s="166">
        <f t="shared" si="2"/>
        <v>118623.80840000001</v>
      </c>
      <c r="J10" s="166">
        <f t="shared" si="2"/>
        <v>179622.301679</v>
      </c>
      <c r="K10" s="166">
        <f t="shared" si="2"/>
        <v>184460.65137447004</v>
      </c>
      <c r="L10" s="166">
        <f t="shared" si="2"/>
        <v>192338.93143580412</v>
      </c>
      <c r="M10" s="166">
        <f t="shared" si="2"/>
        <v>184982.03500247825</v>
      </c>
      <c r="N10" s="166">
        <f t="shared" si="2"/>
        <v>190078.12250765256</v>
      </c>
      <c r="O10" s="166">
        <f t="shared" si="2"/>
        <v>195785.23145798215</v>
      </c>
      <c r="P10" s="166">
        <f t="shared" si="2"/>
        <v>183032.68821042165</v>
      </c>
      <c r="Q10" s="166">
        <f t="shared" si="2"/>
        <v>183979.0186768343</v>
      </c>
      <c r="R10" s="166">
        <f t="shared" si="2"/>
        <v>161924.41300723929</v>
      </c>
      <c r="S10" s="166">
        <f t="shared" si="2"/>
        <v>197162.49100255646</v>
      </c>
      <c r="T10" s="166">
        <f t="shared" si="2"/>
        <v>200991.89565773317</v>
      </c>
      <c r="U10" s="166">
        <f t="shared" si="2"/>
        <v>190572.6623361652</v>
      </c>
      <c r="V10" s="166">
        <f t="shared" si="2"/>
        <v>192793.87117635016</v>
      </c>
      <c r="W10" s="166">
        <f t="shared" si="2"/>
        <v>169603.08493174062</v>
      </c>
      <c r="X10" s="166">
        <f t="shared" si="2"/>
        <v>148731.54254479287</v>
      </c>
      <c r="Y10" s="166">
        <f>Y11+Y12+Y13</f>
        <v>57592.245415000012</v>
      </c>
      <c r="Z10" s="166">
        <f t="shared" si="2"/>
        <v>22462.995999999999</v>
      </c>
      <c r="AA10" s="166">
        <f t="shared" si="2"/>
        <v>27709.196</v>
      </c>
      <c r="AB10" s="166">
        <f t="shared" si="2"/>
        <v>18230.595999999998</v>
      </c>
      <c r="AC10" s="166">
        <f t="shared" si="2"/>
        <v>28185.196</v>
      </c>
      <c r="AD10" s="166">
        <f t="shared" si="2"/>
        <v>1405.5</v>
      </c>
    </row>
    <row r="11" spans="1:31" ht="28.9" x14ac:dyDescent="0.3">
      <c r="A11" s="140" t="s">
        <v>626</v>
      </c>
      <c r="B11" s="152" t="s">
        <v>667</v>
      </c>
      <c r="C11" s="144" t="s">
        <v>624</v>
      </c>
      <c r="D11" s="151">
        <f>SUM(F11:AD11)</f>
        <v>0</v>
      </c>
      <c r="E11" s="151">
        <f t="shared" ref="E11:AC11" si="3">SUM(G11:AD11)</f>
        <v>0</v>
      </c>
      <c r="F11" s="151">
        <f t="shared" si="3"/>
        <v>0</v>
      </c>
      <c r="G11" s="151">
        <f t="shared" si="3"/>
        <v>0</v>
      </c>
      <c r="H11" s="151">
        <f t="shared" si="3"/>
        <v>0</v>
      </c>
      <c r="I11" s="151">
        <f t="shared" si="3"/>
        <v>0</v>
      </c>
      <c r="J11" s="151">
        <f t="shared" si="3"/>
        <v>0</v>
      </c>
      <c r="K11" s="151">
        <f t="shared" si="3"/>
        <v>0</v>
      </c>
      <c r="L11" s="151">
        <f t="shared" si="3"/>
        <v>0</v>
      </c>
      <c r="M11" s="151">
        <f t="shared" si="3"/>
        <v>0</v>
      </c>
      <c r="N11" s="151">
        <f t="shared" si="3"/>
        <v>0</v>
      </c>
      <c r="O11" s="151">
        <f t="shared" si="3"/>
        <v>0</v>
      </c>
      <c r="P11" s="151">
        <f t="shared" si="3"/>
        <v>0</v>
      </c>
      <c r="Q11" s="151">
        <f t="shared" si="3"/>
        <v>0</v>
      </c>
      <c r="R11" s="151">
        <f t="shared" si="3"/>
        <v>0</v>
      </c>
      <c r="S11" s="151">
        <f t="shared" si="3"/>
        <v>0</v>
      </c>
      <c r="T11" s="151">
        <f t="shared" si="3"/>
        <v>0</v>
      </c>
      <c r="U11" s="151">
        <f t="shared" si="3"/>
        <v>0</v>
      </c>
      <c r="V11" s="151">
        <f t="shared" si="3"/>
        <v>0</v>
      </c>
      <c r="W11" s="151">
        <f t="shared" si="3"/>
        <v>0</v>
      </c>
      <c r="X11" s="151">
        <f t="shared" si="3"/>
        <v>0</v>
      </c>
      <c r="Y11" s="151">
        <f t="shared" si="3"/>
        <v>0</v>
      </c>
      <c r="Z11" s="151">
        <f t="shared" si="3"/>
        <v>0</v>
      </c>
      <c r="AA11" s="151">
        <f t="shared" si="3"/>
        <v>0</v>
      </c>
      <c r="AB11" s="151">
        <f t="shared" si="3"/>
        <v>0</v>
      </c>
      <c r="AC11" s="151">
        <f t="shared" si="3"/>
        <v>0</v>
      </c>
      <c r="AD11" s="151">
        <f>SUM(AE11:BC11)</f>
        <v>0</v>
      </c>
    </row>
    <row r="12" spans="1:31" ht="60" x14ac:dyDescent="0.25">
      <c r="A12" s="140" t="s">
        <v>627</v>
      </c>
      <c r="B12" s="152" t="s">
        <v>668</v>
      </c>
      <c r="C12" s="144" t="s">
        <v>624</v>
      </c>
      <c r="D12" s="151">
        <f>SUM(F12:AD12)</f>
        <v>826344.97154122079</v>
      </c>
      <c r="E12" s="151"/>
      <c r="F12" s="151">
        <f>'(1) CCV C41'!C7</f>
        <v>32900</v>
      </c>
      <c r="G12" s="151">
        <f>'(1) CCV C41'!D7</f>
        <v>33887</v>
      </c>
      <c r="H12" s="151">
        <f>'(1) CCV C41'!E7</f>
        <v>34903.61</v>
      </c>
      <c r="I12" s="151">
        <f>'(1) CCV C41'!F7</f>
        <v>35950.7183</v>
      </c>
      <c r="J12" s="151">
        <f>'(1) CCV C41'!G7</f>
        <v>37029.239849000005</v>
      </c>
      <c r="K12" s="151">
        <f>'(1) CCV C41'!H7</f>
        <v>38140.117044470004</v>
      </c>
      <c r="L12" s="151">
        <f>'(1) CCV C41'!I7</f>
        <v>39284.320555804108</v>
      </c>
      <c r="M12" s="151">
        <f>'(1) CCV C41'!J7</f>
        <v>40462.850172478233</v>
      </c>
      <c r="N12" s="151">
        <f>'(1) CCV C41'!K7</f>
        <v>41676.735677652578</v>
      </c>
      <c r="O12" s="151">
        <f>'(1) CCV C41'!L7</f>
        <v>42927.037747982162</v>
      </c>
      <c r="P12" s="151">
        <f>'(1) CCV C41'!M7</f>
        <v>44214.848880421632</v>
      </c>
      <c r="Q12" s="151">
        <f>'(1) CCV C41'!N7</f>
        <v>45541.294346834271</v>
      </c>
      <c r="R12" s="151">
        <f>'(1) CCV C41'!O7</f>
        <v>46907.533177239304</v>
      </c>
      <c r="S12" s="151">
        <f>'(1) CCV C41'!P7</f>
        <v>48314.759172556485</v>
      </c>
      <c r="T12" s="151">
        <f>'(1) CCV C41'!Q7</f>
        <v>49764.201947733185</v>
      </c>
      <c r="U12" s="151">
        <f>'(1) CCV C41'!R7</f>
        <v>51257.128006165178</v>
      </c>
      <c r="V12" s="151">
        <f>'(1) CCV C41'!S7</f>
        <v>52794.841846350137</v>
      </c>
      <c r="W12" s="151">
        <f>'(1) CCV C41'!T7</f>
        <v>54378.687101740637</v>
      </c>
      <c r="X12" s="151">
        <f>'(1) CCV C41'!U7</f>
        <v>56010.047714792861</v>
      </c>
      <c r="Y12" s="151">
        <f>'(1) CCV C41'!V7</f>
        <v>0</v>
      </c>
      <c r="Z12" s="151">
        <f>'(1) CCV C41'!W7</f>
        <v>0</v>
      </c>
      <c r="AA12" s="151">
        <f>'(1) CCV C41'!X7</f>
        <v>0</v>
      </c>
      <c r="AB12" s="151">
        <f>'(1) CCV C41'!Y7</f>
        <v>0</v>
      </c>
      <c r="AC12" s="151">
        <f>'(1) CCV C41'!Z7</f>
        <v>0</v>
      </c>
      <c r="AD12" s="151">
        <f>'(1) CCV C41'!AA7</f>
        <v>0</v>
      </c>
    </row>
    <row r="13" spans="1:31" ht="30" x14ac:dyDescent="0.25">
      <c r="A13" s="140" t="s">
        <v>628</v>
      </c>
      <c r="B13" s="152" t="s">
        <v>666</v>
      </c>
      <c r="C13" s="144" t="s">
        <v>624</v>
      </c>
      <c r="D13" s="151">
        <f>SUM(E13:AD13)</f>
        <v>2566723.8613749999</v>
      </c>
      <c r="E13" s="172">
        <f>E14+E15+E16</f>
        <v>0</v>
      </c>
      <c r="F13" s="172">
        <f>F14+F15+F16</f>
        <v>50286.603999999999</v>
      </c>
      <c r="G13" s="172">
        <f t="shared" ref="G13:AD13" si="4">G14+G15+G16</f>
        <v>64127.436549999999</v>
      </c>
      <c r="H13" s="172">
        <f t="shared" si="4"/>
        <v>146695.70354999998</v>
      </c>
      <c r="I13" s="172">
        <f>I14+I15+I16</f>
        <v>82673.090100000001</v>
      </c>
      <c r="J13" s="172">
        <f t="shared" si="4"/>
        <v>142593.06182999999</v>
      </c>
      <c r="K13" s="172">
        <f t="shared" si="4"/>
        <v>146320.53433000002</v>
      </c>
      <c r="L13" s="172">
        <f t="shared" si="4"/>
        <v>153054.61088000002</v>
      </c>
      <c r="M13" s="172">
        <f t="shared" si="4"/>
        <v>144519.18483000001</v>
      </c>
      <c r="N13" s="172">
        <f t="shared" si="4"/>
        <v>148401.38682999997</v>
      </c>
      <c r="O13" s="172">
        <f t="shared" si="4"/>
        <v>152858.19370999999</v>
      </c>
      <c r="P13" s="172">
        <f t="shared" si="4"/>
        <v>138817.83933000002</v>
      </c>
      <c r="Q13" s="172">
        <f t="shared" si="4"/>
        <v>138437.72433000003</v>
      </c>
      <c r="R13" s="172">
        <f t="shared" si="4"/>
        <v>115016.87982999999</v>
      </c>
      <c r="S13" s="172">
        <f t="shared" si="4"/>
        <v>148847.73182999998</v>
      </c>
      <c r="T13" s="172">
        <f t="shared" si="4"/>
        <v>151227.69370999999</v>
      </c>
      <c r="U13" s="172">
        <f t="shared" si="4"/>
        <v>139315.53433000002</v>
      </c>
      <c r="V13" s="172">
        <f t="shared" si="4"/>
        <v>139999.02933000002</v>
      </c>
      <c r="W13" s="172">
        <f t="shared" si="4"/>
        <v>115224.39782999999</v>
      </c>
      <c r="X13" s="172">
        <f t="shared" si="4"/>
        <v>92721.494830000025</v>
      </c>
      <c r="Y13" s="172">
        <f>(X13+Z13)/2</f>
        <v>57592.245415000012</v>
      </c>
      <c r="Z13" s="172">
        <f t="shared" si="4"/>
        <v>22462.995999999999</v>
      </c>
      <c r="AA13" s="172">
        <f t="shared" si="4"/>
        <v>27709.196</v>
      </c>
      <c r="AB13" s="172">
        <f t="shared" si="4"/>
        <v>18230.595999999998</v>
      </c>
      <c r="AC13" s="172">
        <f t="shared" si="4"/>
        <v>28185.196</v>
      </c>
      <c r="AD13" s="172">
        <f t="shared" si="4"/>
        <v>1405.5</v>
      </c>
    </row>
    <row r="14" spans="1:31" s="155" customFormat="1" ht="45" x14ac:dyDescent="0.25">
      <c r="A14" s="153" t="s">
        <v>629</v>
      </c>
      <c r="B14" s="167" t="s">
        <v>665</v>
      </c>
      <c r="C14" s="144" t="s">
        <v>624</v>
      </c>
      <c r="D14" s="151">
        <f>SUM(E14:AD14)</f>
        <v>2566723.8613749999</v>
      </c>
      <c r="E14" s="151"/>
      <c r="F14" s="151">
        <f>'(1) CCV C41'!D10+'(2) CCV Equip. Militar'!D23+'(2) CCV Equip. Militar'!D53+'(3) CCV Infiltración'!D32+'(4) CCV Logística'!D53+'(4) CCV Logística'!E28+'(4) CCV Logística'!E83+'(4) CCV Logística'!E112+'(5) CCV Obt. Info.'!E25+'(6) CCV Det. Efect.'!E15+'(7) CCV At. Precis.'!E28+'(8)CCV OPER. DE BUCEO'!E24+'(9) CCV OPER. REBÚSQUEDA'!E16+'(10) CCV AP. BOMB. Y FAN'!E16+'(11) CCV VIS. Y ABORDAJE'!E24+'(12) CCV AP. OPER. CONTAMINADO'!E34</f>
        <v>50286.603999999999</v>
      </c>
      <c r="G14" s="151">
        <f>'(1) CCV C41'!E10+'(2) CCV Equip. Militar'!E23+'(2) CCV Equip. Militar'!E53+'(3) CCV Infiltración'!E32+'(4) CCV Logística'!E53+'(4) CCV Logística'!F28+'(4) CCV Logística'!F83+'(4) CCV Logística'!F112+'(5) CCV Obt. Info.'!F25+'(6) CCV Det. Efect.'!F15+'(7) CCV At. Precis.'!F28+'(8)CCV OPER. DE BUCEO'!F24+'(9) CCV OPER. REBÚSQUEDA'!F16+'(10) CCV AP. BOMB. Y FAN'!F16+'(11) CCV VIS. Y ABORDAJE'!F24+'(12) CCV AP. OPER. CONTAMINADO'!F34</f>
        <v>64127.436549999999</v>
      </c>
      <c r="H14" s="151">
        <f>'(1) CCV C41'!F10+'(2) CCV Equip. Militar'!F23+'(2) CCV Equip. Militar'!F53+'(3) CCV Infiltración'!F32+'(4) CCV Logística'!F53+'(4) CCV Logística'!G28+'(4) CCV Logística'!G83+'(4) CCV Logística'!G112+'(5) CCV Obt. Info.'!G25+'(6) CCV Det. Efect.'!G15+'(7) CCV At. Precis.'!G28+'(8)CCV OPER. DE BUCEO'!G24+'(9) CCV OPER. REBÚSQUEDA'!G16+'(10) CCV AP. BOMB. Y FAN'!G16+'(11) CCV VIS. Y ABORDAJE'!G24+'(12) CCV AP. OPER. CONTAMINADO'!G34</f>
        <v>146695.70354999998</v>
      </c>
      <c r="I14" s="151">
        <f>'(1) CCV C41'!G10+'(2) CCV Equip. Militar'!G23+'(2) CCV Equip. Militar'!G53+'(3) CCV Infiltración'!G32+'(4) CCV Logística'!G53+'(4) CCV Logística'!H28+'(4) CCV Logística'!H83+'(4) CCV Logística'!H112+'(5) CCV Obt. Info.'!H25+'(6) CCV Det. Efect.'!H15+'(7) CCV At. Precis.'!H28+'(8)CCV OPER. DE BUCEO'!H24+'(9) CCV OPER. REBÚSQUEDA'!H16+'(10) CCV AP. BOMB. Y FAN'!H16+'(11) CCV VIS. Y ABORDAJE'!H24+'(12) CCV AP. OPER. CONTAMINADO'!H34</f>
        <v>82673.090100000001</v>
      </c>
      <c r="J14" s="151">
        <f>'(1) CCV C41'!H10+'(2) CCV Equip. Militar'!H23+'(2) CCV Equip. Militar'!H53+'(3) CCV Infiltración'!H32+'(4) CCV Logística'!H53+'(4) CCV Logística'!I28+'(4) CCV Logística'!I83+'(4) CCV Logística'!I112+'(5) CCV Obt. Info.'!I25+'(6) CCV Det. Efect.'!I15+'(7) CCV At. Precis.'!I28+'(8)CCV OPER. DE BUCEO'!I24+'(9) CCV OPER. REBÚSQUEDA'!I16+'(10) CCV AP. BOMB. Y FAN'!I16+'(11) CCV VIS. Y ABORDAJE'!I24+'(12) CCV AP. OPER. CONTAMINADO'!I34</f>
        <v>142593.06182999999</v>
      </c>
      <c r="K14" s="151">
        <f>'(1) CCV C41'!I10+'(2) CCV Equip. Militar'!I23+'(2) CCV Equip. Militar'!I53+'(3) CCV Infiltración'!I32+'(4) CCV Logística'!I53+'(4) CCV Logística'!J28+'(4) CCV Logística'!J83+'(4) CCV Logística'!J112+'(5) CCV Obt. Info.'!J25+'(6) CCV Det. Efect.'!J15+'(7) CCV At. Precis.'!J28+'(8)CCV OPER. DE BUCEO'!J24+'(9) CCV OPER. REBÚSQUEDA'!J16+'(10) CCV AP. BOMB. Y FAN'!J16+'(11) CCV VIS. Y ABORDAJE'!J24+'(12) CCV AP. OPER. CONTAMINADO'!J34</f>
        <v>146320.53433000002</v>
      </c>
      <c r="L14" s="151">
        <f>'(1) CCV C41'!J10+'(2) CCV Equip. Militar'!J23+'(2) CCV Equip. Militar'!J53+'(3) CCV Infiltración'!J32+'(4) CCV Logística'!J53+'(4) CCV Logística'!K28+'(4) CCV Logística'!K83+'(4) CCV Logística'!K112+'(5) CCV Obt. Info.'!K25+'(6) CCV Det. Efect.'!K15+'(7) CCV At. Precis.'!K28+'(8)CCV OPER. DE BUCEO'!K24+'(9) CCV OPER. REBÚSQUEDA'!K16+'(10) CCV AP. BOMB. Y FAN'!K16+'(11) CCV VIS. Y ABORDAJE'!K24+'(12) CCV AP. OPER. CONTAMINADO'!K34</f>
        <v>153054.61088000002</v>
      </c>
      <c r="M14" s="151">
        <f>'(1) CCV C41'!K10+'(2) CCV Equip. Militar'!K23+'(2) CCV Equip. Militar'!K53+'(3) CCV Infiltración'!K32+'(4) CCV Logística'!K53+'(4) CCV Logística'!L28+'(4) CCV Logística'!L83+'(4) CCV Logística'!L112+'(5) CCV Obt. Info.'!L25+'(6) CCV Det. Efect.'!L15+'(7) CCV At. Precis.'!L28+'(8)CCV OPER. DE BUCEO'!L24+'(9) CCV OPER. REBÚSQUEDA'!L16+'(10) CCV AP. BOMB. Y FAN'!L16+'(11) CCV VIS. Y ABORDAJE'!L24+'(12) CCV AP. OPER. CONTAMINADO'!L34</f>
        <v>144519.18483000001</v>
      </c>
      <c r="N14" s="151">
        <f>'(1) CCV C41'!L10+'(2) CCV Equip. Militar'!L23+'(2) CCV Equip. Militar'!L53+'(3) CCV Infiltración'!L32+'(4) CCV Logística'!L53+'(4) CCV Logística'!M28+'(4) CCV Logística'!M83+'(4) CCV Logística'!M112+'(5) CCV Obt. Info.'!M25+'(6) CCV Det. Efect.'!M15+'(7) CCV At. Precis.'!M28+'(8)CCV OPER. DE BUCEO'!M24+'(9) CCV OPER. REBÚSQUEDA'!M16+'(10) CCV AP. BOMB. Y FAN'!M16+'(11) CCV VIS. Y ABORDAJE'!M24+'(12) CCV AP. OPER. CONTAMINADO'!M34</f>
        <v>148401.38682999997</v>
      </c>
      <c r="O14" s="151">
        <f>'(1) CCV C41'!M10+'(2) CCV Equip. Militar'!M23+'(2) CCV Equip. Militar'!M53+'(3) CCV Infiltración'!M32+'(4) CCV Logística'!M53+'(4) CCV Logística'!N28+'(4) CCV Logística'!N83+'(4) CCV Logística'!N112+'(5) CCV Obt. Info.'!N25+'(6) CCV Det. Efect.'!N15+'(7) CCV At. Precis.'!N28+'(8)CCV OPER. DE BUCEO'!N24+'(9) CCV OPER. REBÚSQUEDA'!N16+'(10) CCV AP. BOMB. Y FAN'!N16+'(11) CCV VIS. Y ABORDAJE'!N24+'(12) CCV AP. OPER. CONTAMINADO'!N34</f>
        <v>152858.19370999999</v>
      </c>
      <c r="P14" s="151">
        <f>'(1) CCV C41'!N10+'(2) CCV Equip. Militar'!N23+'(2) CCV Equip. Militar'!N53+'(3) CCV Infiltración'!N32+'(4) CCV Logística'!N53+'(4) CCV Logística'!O28+'(4) CCV Logística'!O83+'(4) CCV Logística'!O112+'(5) CCV Obt. Info.'!O25+'(6) CCV Det. Efect.'!O15+'(7) CCV At. Precis.'!O28+'(8)CCV OPER. DE BUCEO'!O24+'(9) CCV OPER. REBÚSQUEDA'!O16+'(10) CCV AP. BOMB. Y FAN'!O16+'(11) CCV VIS. Y ABORDAJE'!O24+'(12) CCV AP. OPER. CONTAMINADO'!O34</f>
        <v>138817.83933000002</v>
      </c>
      <c r="Q14" s="151">
        <f>'(1) CCV C41'!O10+'(2) CCV Equip. Militar'!O23+'(2) CCV Equip. Militar'!O53+'(3) CCV Infiltración'!O32+'(4) CCV Logística'!O53+'(4) CCV Logística'!P28+'(4) CCV Logística'!P83+'(4) CCV Logística'!P112+'(5) CCV Obt. Info.'!P25+'(6) CCV Det. Efect.'!P15+'(7) CCV At. Precis.'!P28+'(8)CCV OPER. DE BUCEO'!P24+'(9) CCV OPER. REBÚSQUEDA'!P16+'(10) CCV AP. BOMB. Y FAN'!P16+'(11) CCV VIS. Y ABORDAJE'!P24+'(12) CCV AP. OPER. CONTAMINADO'!P34</f>
        <v>138437.72433000003</v>
      </c>
      <c r="R14" s="151">
        <f>'(1) CCV C41'!P10+'(2) CCV Equip. Militar'!P23+'(2) CCV Equip. Militar'!P53+'(3) CCV Infiltración'!P32+'(4) CCV Logística'!P53+'(4) CCV Logística'!Q28+'(4) CCV Logística'!Q83+'(4) CCV Logística'!Q112+'(5) CCV Obt. Info.'!Q25+'(6) CCV Det. Efect.'!Q15+'(7) CCV At. Precis.'!Q28+'(8)CCV OPER. DE BUCEO'!Q24+'(9) CCV OPER. REBÚSQUEDA'!Q16+'(10) CCV AP. BOMB. Y FAN'!Q16+'(11) CCV VIS. Y ABORDAJE'!Q24+'(12) CCV AP. OPER. CONTAMINADO'!Q34</f>
        <v>115016.87982999999</v>
      </c>
      <c r="S14" s="151">
        <f>'(1) CCV C41'!Q10+'(2) CCV Equip. Militar'!Q23+'(2) CCV Equip. Militar'!Q53+'(3) CCV Infiltración'!Q32+'(4) CCV Logística'!Q53+'(4) CCV Logística'!R28+'(4) CCV Logística'!R83+'(4) CCV Logística'!R112+'(5) CCV Obt. Info.'!R25+'(6) CCV Det. Efect.'!R15+'(7) CCV At. Precis.'!R28+'(8)CCV OPER. DE BUCEO'!R24+'(9) CCV OPER. REBÚSQUEDA'!R16+'(10) CCV AP. BOMB. Y FAN'!R16+'(11) CCV VIS. Y ABORDAJE'!R24+'(12) CCV AP. OPER. CONTAMINADO'!R34</f>
        <v>148847.73182999998</v>
      </c>
      <c r="T14" s="151">
        <f>'(1) CCV C41'!R10+'(2) CCV Equip. Militar'!R23+'(2) CCV Equip. Militar'!R53+'(3) CCV Infiltración'!R32+'(4) CCV Logística'!R53+'(4) CCV Logística'!S28+'(4) CCV Logística'!S83+'(4) CCV Logística'!S112+'(5) CCV Obt. Info.'!S25+'(6) CCV Det. Efect.'!S15+'(7) CCV At. Precis.'!S28+'(8)CCV OPER. DE BUCEO'!S24+'(9) CCV OPER. REBÚSQUEDA'!S16+'(10) CCV AP. BOMB. Y FAN'!S16+'(11) CCV VIS. Y ABORDAJE'!S24+'(12) CCV AP. OPER. CONTAMINADO'!S34</f>
        <v>151227.69370999999</v>
      </c>
      <c r="U14" s="151">
        <f>'(1) CCV C41'!S10+'(2) CCV Equip. Militar'!S23+'(2) CCV Equip. Militar'!S53+'(3) CCV Infiltración'!S32+'(4) CCV Logística'!S53+'(4) CCV Logística'!T28+'(4) CCV Logística'!T83+'(4) CCV Logística'!T112+'(5) CCV Obt. Info.'!T25+'(6) CCV Det. Efect.'!T15+'(7) CCV At. Precis.'!T28+'(8)CCV OPER. DE BUCEO'!T24+'(9) CCV OPER. REBÚSQUEDA'!T16+'(10) CCV AP. BOMB. Y FAN'!T16+'(11) CCV VIS. Y ABORDAJE'!T24+'(12) CCV AP. OPER. CONTAMINADO'!T34</f>
        <v>139315.53433000002</v>
      </c>
      <c r="V14" s="151">
        <f>'(1) CCV C41'!T10+'(2) CCV Equip. Militar'!T23+'(2) CCV Equip. Militar'!T53+'(3) CCV Infiltración'!T32+'(4) CCV Logística'!T53+'(4) CCV Logística'!U28+'(4) CCV Logística'!U83+'(4) CCV Logística'!U112+'(5) CCV Obt. Info.'!U25+'(6) CCV Det. Efect.'!U15+'(7) CCV At. Precis.'!U28+'(8)CCV OPER. DE BUCEO'!U24+'(9) CCV OPER. REBÚSQUEDA'!U16+'(10) CCV AP. BOMB. Y FAN'!U16+'(11) CCV VIS. Y ABORDAJE'!U24+'(12) CCV AP. OPER. CONTAMINADO'!U34</f>
        <v>139999.02933000002</v>
      </c>
      <c r="W14" s="151">
        <f>'(1) CCV C41'!U10+'(2) CCV Equip. Militar'!U23+'(2) CCV Equip. Militar'!U53+'(3) CCV Infiltración'!U32+'(4) CCV Logística'!U53+'(4) CCV Logística'!V28+'(4) CCV Logística'!V83+'(4) CCV Logística'!V112+'(5) CCV Obt. Info.'!V25+'(6) CCV Det. Efect.'!V15+'(7) CCV At. Precis.'!V28+'(8)CCV OPER. DE BUCEO'!V24+'(9) CCV OPER. REBÚSQUEDA'!V16+'(10) CCV AP. BOMB. Y FAN'!V16+'(11) CCV VIS. Y ABORDAJE'!V24+'(12) CCV AP. OPER. CONTAMINADO'!V34</f>
        <v>115224.39782999999</v>
      </c>
      <c r="X14" s="151">
        <f>'(1) CCV C41'!V10+'(2) CCV Equip. Militar'!V23+'(2) CCV Equip. Militar'!V53+'(3) CCV Infiltración'!V32+'(4) CCV Logística'!V53+'(4) CCV Logística'!W28+'(4) CCV Logística'!W83+'(4) CCV Logística'!W112+'(5) CCV Obt. Info.'!W25+'(6) CCV Det. Efect.'!W15+'(7) CCV At. Precis.'!W28+'(8)CCV OPER. DE BUCEO'!W24+'(9) CCV OPER. REBÚSQUEDA'!W16+'(10) CCV AP. BOMB. Y FAN'!W16+'(11) CCV VIS. Y ABORDAJE'!W24+'(12) CCV AP. OPER. CONTAMINADO'!W34</f>
        <v>92721.494830000025</v>
      </c>
      <c r="Y14" s="172">
        <f>(X14+Z14)/2</f>
        <v>57592.245415000012</v>
      </c>
      <c r="Z14" s="151">
        <f>'(1) CCV C41'!X10+'(2) CCV Equip. Militar'!X23+'(2) CCV Equip. Militar'!X53+'(3) CCV Infiltración'!X32+'(4) CCV Logística'!X53+'(4) CCV Logística'!Y28+'(4) CCV Logística'!Y83+'(4) CCV Logística'!Y112+'(5) CCV Obt. Info.'!Y25+'(6) CCV Det. Efect.'!Y15+'(7) CCV At. Precis.'!Y28+'(8)CCV OPER. DE BUCEO'!Y24+'(9) CCV OPER. REBÚSQUEDA'!Y16+'(10) CCV AP. BOMB. Y FAN'!Y18+'(11) CCV VIS. Y ABORDAJE'!Y26+'(12) CCV AP. OPER. CONTAMINADO'!Y34</f>
        <v>22462.995999999999</v>
      </c>
      <c r="AA14" s="151">
        <f>'(1) CCV C41'!Y10+'(2) CCV Equip. Militar'!Y23+'(2) CCV Equip. Militar'!Y53+'(3) CCV Infiltración'!Y32+'(4) CCV Logística'!Y53+'(4) CCV Logística'!Z28+'(4) CCV Logística'!Z83+'(4) CCV Logística'!Z112+'(5) CCV Obt. Info.'!Z25+'(6) CCV Det. Efect.'!Z15+'(7) CCV At. Precis.'!Z28+'(8)CCV OPER. DE BUCEO'!Z24+'(9) CCV OPER. REBÚSQUEDA'!Z16+'(10) CCV AP. BOMB. Y FAN'!Z16+'(11) CCV VIS. Y ABORDAJE'!Z24+'(12) CCV AP. OPER. CONTAMINADO'!Z34</f>
        <v>27709.196</v>
      </c>
      <c r="AB14" s="151">
        <f>'(1) CCV C41'!Z10+'(2) CCV Equip. Militar'!Z23+'(2) CCV Equip. Militar'!Z53+'(3) CCV Infiltración'!Z32+'(4) CCV Logística'!Z53+'(4) CCV Logística'!AA28+'(4) CCV Logística'!AA83+'(4) CCV Logística'!AA112+'(5) CCV Obt. Info.'!AA25+'(6) CCV Det. Efect.'!AA15+'(7) CCV At. Precis.'!AA28+'(8)CCV OPER. DE BUCEO'!AA24+'(9) CCV OPER. REBÚSQUEDA'!AA16+'(10) CCV AP. BOMB. Y FAN'!AA16+'(11) CCV VIS. Y ABORDAJE'!AA24+'(12) CCV AP. OPER. CONTAMINADO'!AA34</f>
        <v>18230.595999999998</v>
      </c>
      <c r="AC14" s="151">
        <f>'(1) CCV C41'!AA10+'(2) CCV Equip. Militar'!AA23+'(2) CCV Equip. Militar'!AA53+'(3) CCV Infiltración'!AA32+'(4) CCV Logística'!AA53+'(4) CCV Logística'!AB28+'(4) CCV Logística'!AB83+'(4) CCV Logística'!AB112+'(5) CCV Obt. Info.'!AB25+'(6) CCV Det. Efect.'!AB15+'(7) CCV At. Precis.'!AB28+'(8)CCV OPER. DE BUCEO'!AB24+'(9) CCV OPER. REBÚSQUEDA'!AB16+'(10) CCV AP. BOMB. Y FAN'!AB16+'(11) CCV VIS. Y ABORDAJE'!AB24+'(12) CCV AP. OPER. CONTAMINADO'!AB34</f>
        <v>28185.196</v>
      </c>
      <c r="AD14" s="151">
        <f>'(1) CCV C41'!AB10+'(2) CCV Equip. Militar'!AB23+'(2) CCV Equip. Militar'!AB53+'(3) CCV Infiltración'!AB32+'(4) CCV Logística'!AB53+'(4) CCV Logística'!AC28+'(4) CCV Logística'!AC83+'(4) CCV Logística'!AC112+'(5) CCV Obt. Info.'!AC25+'(6) CCV Det. Efect.'!AC15+'(7) CCV At. Precis.'!AC28+'(8)CCV OPER. DE BUCEO'!AC24+'(9) CCV OPER. REBÚSQUEDA'!AC16+'(10) CCV AP. BOMB. Y FAN'!AC16+'(11) CCV VIS. Y ABORDAJE'!AC24+'(12) CCV AP. OPER. CONTAMINADO'!AC34</f>
        <v>1405.5</v>
      </c>
      <c r="AE14" s="151"/>
    </row>
    <row r="15" spans="1:31" s="155" customFormat="1" ht="60" x14ac:dyDescent="0.25">
      <c r="A15" s="153" t="s">
        <v>630</v>
      </c>
      <c r="B15" s="167" t="s">
        <v>664</v>
      </c>
      <c r="C15" s="144" t="s">
        <v>670</v>
      </c>
      <c r="D15" s="151">
        <f>SUM(F15:AD15)</f>
        <v>0</v>
      </c>
      <c r="E15" s="151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4"/>
      <c r="T15" s="154"/>
      <c r="U15" s="154"/>
      <c r="V15" s="154"/>
      <c r="W15" s="154"/>
      <c r="X15" s="154"/>
      <c r="Y15" s="154"/>
      <c r="Z15" s="154"/>
      <c r="AA15" s="154"/>
      <c r="AB15" s="154"/>
      <c r="AC15" s="154"/>
      <c r="AD15" s="154"/>
    </row>
    <row r="16" spans="1:31" s="155" customFormat="1" ht="30.75" thickBot="1" x14ac:dyDescent="0.3">
      <c r="A16" s="153" t="s">
        <v>631</v>
      </c>
      <c r="B16" s="153"/>
      <c r="C16" s="144" t="s">
        <v>671</v>
      </c>
      <c r="D16" s="151">
        <f>SUM(F16:AD16)</f>
        <v>0</v>
      </c>
      <c r="E16" s="151"/>
      <c r="F16" s="154"/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</row>
    <row r="17" spans="1:30" ht="15.75" thickBot="1" x14ac:dyDescent="0.3">
      <c r="A17" s="168" t="s">
        <v>632</v>
      </c>
      <c r="B17" s="169"/>
      <c r="C17" s="214"/>
      <c r="D17" s="215">
        <f>SUM(F17:AD17)</f>
        <v>0</v>
      </c>
      <c r="E17" s="170"/>
      <c r="F17" s="170">
        <v>0</v>
      </c>
      <c r="G17" s="170">
        <v>0</v>
      </c>
      <c r="H17" s="170">
        <v>0</v>
      </c>
      <c r="I17" s="170">
        <v>0</v>
      </c>
      <c r="J17" s="170">
        <v>0</v>
      </c>
      <c r="K17" s="170">
        <v>0</v>
      </c>
      <c r="L17" s="170">
        <v>0</v>
      </c>
      <c r="M17" s="170">
        <v>0</v>
      </c>
      <c r="N17" s="170">
        <v>0</v>
      </c>
      <c r="O17" s="170">
        <v>0</v>
      </c>
      <c r="P17" s="170">
        <v>0</v>
      </c>
      <c r="Q17" s="170">
        <v>0</v>
      </c>
      <c r="R17" s="170">
        <v>0</v>
      </c>
      <c r="S17" s="170">
        <v>0</v>
      </c>
      <c r="T17" s="170">
        <v>0</v>
      </c>
      <c r="U17" s="170">
        <v>0</v>
      </c>
      <c r="V17" s="170">
        <v>0</v>
      </c>
      <c r="W17" s="170">
        <v>0</v>
      </c>
      <c r="X17" s="170">
        <v>0</v>
      </c>
      <c r="Y17" s="170">
        <v>0</v>
      </c>
      <c r="Z17" s="170">
        <v>0</v>
      </c>
      <c r="AA17" s="170">
        <v>0</v>
      </c>
      <c r="AB17" s="170">
        <v>0</v>
      </c>
      <c r="AC17" s="170">
        <v>0</v>
      </c>
      <c r="AD17" s="170">
        <v>0</v>
      </c>
    </row>
    <row r="18" spans="1:30" x14ac:dyDescent="0.25">
      <c r="A18" s="140"/>
      <c r="B18" s="140"/>
      <c r="C18" s="216" t="s">
        <v>593</v>
      </c>
      <c r="D18" s="217">
        <f>D5</f>
        <v>15253404.685993148</v>
      </c>
      <c r="E18" s="174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  <c r="AA18" s="151"/>
      <c r="AB18" s="151"/>
      <c r="AC18" s="151"/>
      <c r="AD18" s="151"/>
    </row>
    <row r="19" spans="1:30" ht="15.75" thickBot="1" x14ac:dyDescent="0.3">
      <c r="A19" s="140"/>
      <c r="B19" s="140"/>
      <c r="C19" s="218" t="s">
        <v>633</v>
      </c>
      <c r="D19" s="219">
        <f>PMT(6%,25,-D18)</f>
        <v>1193223.7901489655</v>
      </c>
      <c r="E19" s="174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</row>
    <row r="20" spans="1:30" x14ac:dyDescent="0.25">
      <c r="A20" s="140"/>
      <c r="B20" s="140"/>
      <c r="C20" s="144"/>
      <c r="D20" s="171"/>
      <c r="E20" s="174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</row>
    <row r="21" spans="1:30" x14ac:dyDescent="0.25">
      <c r="A21" s="140"/>
      <c r="B21" s="140"/>
      <c r="C21" s="144"/>
      <c r="D21" s="140"/>
      <c r="E21" s="140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</row>
    <row r="22" spans="1:30" x14ac:dyDescent="0.25">
      <c r="B22" s="140"/>
      <c r="C22" s="144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  <c r="R22" s="172"/>
      <c r="S22" s="172"/>
      <c r="T22" s="172"/>
      <c r="U22" s="172"/>
      <c r="V22" s="172"/>
      <c r="W22" s="172"/>
      <c r="X22" s="172"/>
      <c r="Y22" s="172"/>
      <c r="Z22" s="172"/>
      <c r="AA22" s="172"/>
      <c r="AB22" s="172"/>
      <c r="AC22" s="172"/>
      <c r="AD22" s="172"/>
    </row>
    <row r="23" spans="1:30" x14ac:dyDescent="0.25">
      <c r="B23" s="140"/>
      <c r="D23" s="172"/>
      <c r="E23" s="172"/>
    </row>
    <row r="24" spans="1:30" x14ac:dyDescent="0.25">
      <c r="B24" s="140"/>
      <c r="C24" s="144"/>
      <c r="D24" s="174"/>
      <c r="E24" s="174"/>
    </row>
    <row r="25" spans="1:30" x14ac:dyDescent="0.25">
      <c r="B25" s="140"/>
      <c r="C25" s="140"/>
      <c r="D25" s="140"/>
      <c r="E25" s="140"/>
    </row>
    <row r="26" spans="1:30" x14ac:dyDescent="0.25">
      <c r="B26" s="140"/>
      <c r="C26" s="140"/>
      <c r="D26" s="140"/>
      <c r="E26" s="140"/>
    </row>
    <row r="27" spans="1:30" x14ac:dyDescent="0.25">
      <c r="B27" s="140"/>
      <c r="C27" s="140"/>
      <c r="D27" s="140"/>
      <c r="E27" s="140"/>
    </row>
    <row r="28" spans="1:30" x14ac:dyDescent="0.25">
      <c r="B28" s="140"/>
      <c r="C28" s="140"/>
      <c r="D28" s="140"/>
      <c r="E28" s="140"/>
    </row>
    <row r="29" spans="1:30" x14ac:dyDescent="0.25">
      <c r="B29" s="140"/>
      <c r="C29" s="140"/>
      <c r="D29" s="140"/>
    </row>
    <row r="30" spans="1:30" x14ac:dyDescent="0.25">
      <c r="B30" s="140"/>
    </row>
    <row r="31" spans="1:30" x14ac:dyDescent="0.25">
      <c r="B31" s="140"/>
      <c r="C31" s="144"/>
    </row>
    <row r="32" spans="1:30" x14ac:dyDescent="0.25">
      <c r="B32" s="140"/>
      <c r="C32" s="144"/>
    </row>
    <row r="33" spans="2:30" x14ac:dyDescent="0.25">
      <c r="B33" s="140"/>
      <c r="C33" s="144"/>
    </row>
    <row r="34" spans="2:30" x14ac:dyDescent="0.25">
      <c r="B34" s="140"/>
      <c r="C34" s="144"/>
    </row>
    <row r="35" spans="2:30" x14ac:dyDescent="0.25">
      <c r="B35" s="140"/>
      <c r="C35" s="144"/>
    </row>
    <row r="36" spans="2:30" x14ac:dyDescent="0.25">
      <c r="B36" s="140"/>
      <c r="C36" s="144"/>
    </row>
    <row r="37" spans="2:30" x14ac:dyDescent="0.25">
      <c r="B37" s="140"/>
      <c r="C37" s="144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172"/>
      <c r="U37" s="172"/>
      <c r="V37" s="172"/>
      <c r="W37" s="172"/>
      <c r="X37" s="172"/>
      <c r="Y37" s="172"/>
      <c r="Z37" s="172"/>
      <c r="AA37" s="172"/>
      <c r="AB37" s="172"/>
      <c r="AC37" s="172"/>
      <c r="AD37" s="172"/>
    </row>
    <row r="38" spans="2:30" x14ac:dyDescent="0.25">
      <c r="B38" s="140"/>
      <c r="C38" s="144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72"/>
      <c r="U38" s="172"/>
      <c r="V38" s="172"/>
      <c r="W38" s="172"/>
      <c r="X38" s="172"/>
      <c r="Y38" s="172"/>
      <c r="Z38" s="172"/>
      <c r="AA38" s="172"/>
      <c r="AB38" s="172"/>
      <c r="AC38" s="172"/>
      <c r="AD38" s="172"/>
    </row>
    <row r="39" spans="2:30" x14ac:dyDescent="0.25">
      <c r="B39" s="140"/>
      <c r="C39" s="144"/>
      <c r="F39" s="172"/>
      <c r="G39" s="172"/>
      <c r="H39" s="172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2"/>
      <c r="T39" s="172"/>
      <c r="U39" s="172"/>
      <c r="V39" s="172"/>
      <c r="W39" s="172"/>
      <c r="X39" s="172"/>
      <c r="Y39" s="172"/>
      <c r="Z39" s="172"/>
      <c r="AA39" s="172"/>
      <c r="AB39" s="172"/>
      <c r="AC39" s="172"/>
      <c r="AD39" s="172"/>
    </row>
    <row r="40" spans="2:30" x14ac:dyDescent="0.25">
      <c r="B40" s="140"/>
      <c r="C40" s="144"/>
    </row>
    <row r="41" spans="2:30" x14ac:dyDescent="0.25">
      <c r="B41" s="140"/>
      <c r="C41" s="144"/>
    </row>
    <row r="42" spans="2:30" x14ac:dyDescent="0.25">
      <c r="B42" s="140"/>
      <c r="C42" s="144"/>
    </row>
    <row r="43" spans="2:30" x14ac:dyDescent="0.25">
      <c r="B43" s="140"/>
      <c r="C43" s="144"/>
    </row>
    <row r="44" spans="2:30" x14ac:dyDescent="0.25">
      <c r="B44" s="140"/>
      <c r="C44" s="144"/>
    </row>
    <row r="45" spans="2:30" x14ac:dyDescent="0.25">
      <c r="B45" s="140"/>
      <c r="C45" s="144"/>
    </row>
    <row r="46" spans="2:30" x14ac:dyDescent="0.25">
      <c r="B46" s="140"/>
      <c r="C46" s="144"/>
    </row>
    <row r="47" spans="2:30" x14ac:dyDescent="0.25">
      <c r="B47" s="140"/>
      <c r="C47" s="144"/>
    </row>
    <row r="48" spans="2:30" x14ac:dyDescent="0.25">
      <c r="B48" s="140"/>
      <c r="C48" s="144"/>
    </row>
    <row r="49" spans="2:3" x14ac:dyDescent="0.25">
      <c r="B49" s="140"/>
      <c r="C49" s="144"/>
    </row>
    <row r="50" spans="2:3" x14ac:dyDescent="0.25">
      <c r="B50" s="140"/>
      <c r="C50" s="144"/>
    </row>
    <row r="51" spans="2:3" x14ac:dyDescent="0.25">
      <c r="B51" s="140"/>
      <c r="C51" s="144"/>
    </row>
    <row r="52" spans="2:3" x14ac:dyDescent="0.25">
      <c r="B52" s="140"/>
      <c r="C52" s="144"/>
    </row>
    <row r="53" spans="2:3" x14ac:dyDescent="0.25">
      <c r="B53" s="140"/>
      <c r="C53" s="144"/>
    </row>
    <row r="54" spans="2:3" x14ac:dyDescent="0.25">
      <c r="B54" s="140"/>
      <c r="C54" s="144"/>
    </row>
    <row r="55" spans="2:3" x14ac:dyDescent="0.25">
      <c r="B55" s="140"/>
      <c r="C55" s="144"/>
    </row>
    <row r="56" spans="2:3" x14ac:dyDescent="0.25">
      <c r="B56" s="140"/>
      <c r="C56" s="144"/>
    </row>
    <row r="57" spans="2:3" x14ac:dyDescent="0.25">
      <c r="B57" s="140"/>
      <c r="C57" s="144"/>
    </row>
    <row r="58" spans="2:3" x14ac:dyDescent="0.25">
      <c r="B58" s="140"/>
      <c r="C58" s="144"/>
    </row>
    <row r="59" spans="2:3" x14ac:dyDescent="0.25">
      <c r="B59" s="140"/>
      <c r="C59" s="144"/>
    </row>
    <row r="60" spans="2:3" x14ac:dyDescent="0.25">
      <c r="B60" s="140"/>
      <c r="C60" s="144"/>
    </row>
    <row r="61" spans="2:3" x14ac:dyDescent="0.25">
      <c r="B61" s="140"/>
      <c r="C61" s="144"/>
    </row>
    <row r="62" spans="2:3" x14ac:dyDescent="0.25">
      <c r="B62" s="140"/>
      <c r="C62" s="144"/>
    </row>
    <row r="63" spans="2:3" x14ac:dyDescent="0.25">
      <c r="B63" s="140"/>
      <c r="C63" s="144"/>
    </row>
    <row r="64" spans="2:3" x14ac:dyDescent="0.25">
      <c r="B64" s="140"/>
      <c r="C64" s="144"/>
    </row>
    <row r="65" spans="2:3" x14ac:dyDescent="0.25">
      <c r="B65" s="140"/>
      <c r="C65" s="144"/>
    </row>
    <row r="66" spans="2:3" x14ac:dyDescent="0.25">
      <c r="B66" s="140"/>
      <c r="C66" s="144"/>
    </row>
    <row r="67" spans="2:3" x14ac:dyDescent="0.25">
      <c r="B67" s="140"/>
      <c r="C67" s="144"/>
    </row>
    <row r="68" spans="2:3" x14ac:dyDescent="0.25">
      <c r="B68" s="140"/>
      <c r="C68" s="144"/>
    </row>
    <row r="69" spans="2:3" x14ac:dyDescent="0.25">
      <c r="B69" s="140"/>
      <c r="C69" s="144"/>
    </row>
    <row r="70" spans="2:3" x14ac:dyDescent="0.25">
      <c r="B70" s="140"/>
      <c r="C70" s="144"/>
    </row>
    <row r="71" spans="2:3" x14ac:dyDescent="0.25">
      <c r="B71" s="140"/>
      <c r="C71" s="144"/>
    </row>
    <row r="72" spans="2:3" x14ac:dyDescent="0.25">
      <c r="B72" s="140"/>
      <c r="C72" s="144"/>
    </row>
    <row r="73" spans="2:3" x14ac:dyDescent="0.25">
      <c r="B73" s="140"/>
      <c r="C73" s="144"/>
    </row>
    <row r="74" spans="2:3" x14ac:dyDescent="0.25">
      <c r="B74" s="140"/>
      <c r="C74" s="144"/>
    </row>
    <row r="75" spans="2:3" x14ac:dyDescent="0.25">
      <c r="B75" s="140"/>
      <c r="C75" s="144"/>
    </row>
    <row r="76" spans="2:3" x14ac:dyDescent="0.25">
      <c r="B76" s="140"/>
      <c r="C76" s="144"/>
    </row>
    <row r="77" spans="2:3" x14ac:dyDescent="0.25">
      <c r="B77" s="140"/>
      <c r="C77" s="144"/>
    </row>
    <row r="78" spans="2:3" x14ac:dyDescent="0.25">
      <c r="B78" s="140"/>
      <c r="C78" s="144"/>
    </row>
    <row r="79" spans="2:3" x14ac:dyDescent="0.25">
      <c r="B79" s="140"/>
      <c r="C79" s="144"/>
    </row>
    <row r="80" spans="2:3" x14ac:dyDescent="0.25">
      <c r="B80" s="140"/>
      <c r="C80" s="144"/>
    </row>
    <row r="81" spans="2:3" x14ac:dyDescent="0.25">
      <c r="B81" s="140"/>
      <c r="C81" s="144"/>
    </row>
    <row r="82" spans="2:3" x14ac:dyDescent="0.25">
      <c r="B82" s="140"/>
      <c r="C82" s="144"/>
    </row>
    <row r="83" spans="2:3" x14ac:dyDescent="0.25">
      <c r="B83" s="140"/>
      <c r="C83" s="144"/>
    </row>
    <row r="84" spans="2:3" x14ac:dyDescent="0.25">
      <c r="B84" s="140"/>
      <c r="C84" s="144"/>
    </row>
    <row r="85" spans="2:3" x14ac:dyDescent="0.25">
      <c r="B85" s="140"/>
      <c r="C85" s="144"/>
    </row>
    <row r="86" spans="2:3" x14ac:dyDescent="0.25">
      <c r="B86" s="140"/>
      <c r="C86" s="144"/>
    </row>
    <row r="87" spans="2:3" x14ac:dyDescent="0.25">
      <c r="B87" s="140"/>
      <c r="C87" s="144"/>
    </row>
    <row r="88" spans="2:3" x14ac:dyDescent="0.25">
      <c r="B88" s="140"/>
      <c r="C88" s="144"/>
    </row>
    <row r="89" spans="2:3" x14ac:dyDescent="0.25">
      <c r="B89" s="140"/>
      <c r="C89" s="144"/>
    </row>
    <row r="90" spans="2:3" x14ac:dyDescent="0.25">
      <c r="B90" s="140"/>
      <c r="C90" s="144"/>
    </row>
    <row r="91" spans="2:3" x14ac:dyDescent="0.25">
      <c r="B91" s="140"/>
      <c r="C91" s="144"/>
    </row>
    <row r="92" spans="2:3" x14ac:dyDescent="0.25">
      <c r="B92" s="140"/>
      <c r="C92" s="144"/>
    </row>
    <row r="93" spans="2:3" x14ac:dyDescent="0.25">
      <c r="B93" s="140"/>
      <c r="C93" s="144"/>
    </row>
    <row r="94" spans="2:3" x14ac:dyDescent="0.25">
      <c r="B94" s="140"/>
      <c r="C94" s="144"/>
    </row>
    <row r="95" spans="2:3" x14ac:dyDescent="0.25">
      <c r="B95" s="140"/>
      <c r="C95" s="144"/>
    </row>
    <row r="96" spans="2:3" x14ac:dyDescent="0.25">
      <c r="B96" s="140"/>
      <c r="C96" s="144"/>
    </row>
    <row r="97" spans="2:3" x14ac:dyDescent="0.25">
      <c r="B97" s="140"/>
      <c r="C97" s="144"/>
    </row>
    <row r="98" spans="2:3" x14ac:dyDescent="0.25">
      <c r="B98" s="140"/>
      <c r="C98" s="144"/>
    </row>
    <row r="99" spans="2:3" x14ac:dyDescent="0.25">
      <c r="B99" s="140"/>
      <c r="C99" s="144"/>
    </row>
    <row r="100" spans="2:3" x14ac:dyDescent="0.25">
      <c r="B100" s="140"/>
      <c r="C100" s="144"/>
    </row>
    <row r="101" spans="2:3" x14ac:dyDescent="0.25">
      <c r="B101" s="140"/>
      <c r="C101" s="144"/>
    </row>
    <row r="102" spans="2:3" x14ac:dyDescent="0.25">
      <c r="B102" s="140"/>
      <c r="C102" s="144"/>
    </row>
    <row r="103" spans="2:3" x14ac:dyDescent="0.25">
      <c r="B103" s="140"/>
      <c r="C103" s="144"/>
    </row>
    <row r="104" spans="2:3" x14ac:dyDescent="0.25">
      <c r="B104" s="140"/>
      <c r="C104" s="144"/>
    </row>
    <row r="105" spans="2:3" x14ac:dyDescent="0.25">
      <c r="B105" s="140"/>
      <c r="C105" s="144"/>
    </row>
    <row r="106" spans="2:3" x14ac:dyDescent="0.25">
      <c r="B106" s="140"/>
      <c r="C106" s="144"/>
    </row>
    <row r="107" spans="2:3" x14ac:dyDescent="0.25">
      <c r="B107" s="140"/>
      <c r="C107" s="144"/>
    </row>
    <row r="108" spans="2:3" x14ac:dyDescent="0.25">
      <c r="B108" s="140"/>
      <c r="C108" s="144"/>
    </row>
    <row r="109" spans="2:3" x14ac:dyDescent="0.25">
      <c r="B109" s="140"/>
      <c r="C109" s="144"/>
    </row>
    <row r="110" spans="2:3" x14ac:dyDescent="0.25">
      <c r="B110" s="140"/>
      <c r="C110" s="144"/>
    </row>
    <row r="111" spans="2:3" x14ac:dyDescent="0.25">
      <c r="B111" s="140"/>
      <c r="C111" s="144"/>
    </row>
    <row r="112" spans="2:3" x14ac:dyDescent="0.25">
      <c r="B112" s="140"/>
      <c r="C112" s="144"/>
    </row>
    <row r="113" spans="2:3" x14ac:dyDescent="0.25">
      <c r="B113" s="140"/>
      <c r="C113" s="144"/>
    </row>
    <row r="114" spans="2:3" x14ac:dyDescent="0.25">
      <c r="B114" s="140"/>
      <c r="C114" s="144"/>
    </row>
    <row r="115" spans="2:3" x14ac:dyDescent="0.25">
      <c r="B115" s="140"/>
      <c r="C115" s="144"/>
    </row>
    <row r="116" spans="2:3" x14ac:dyDescent="0.25">
      <c r="B116" s="140"/>
      <c r="C116" s="144"/>
    </row>
    <row r="117" spans="2:3" x14ac:dyDescent="0.25">
      <c r="B117" s="140"/>
      <c r="C117" s="144"/>
    </row>
    <row r="118" spans="2:3" x14ac:dyDescent="0.25">
      <c r="B118" s="140"/>
      <c r="C118" s="144"/>
    </row>
    <row r="119" spans="2:3" x14ac:dyDescent="0.25">
      <c r="B119" s="140"/>
      <c r="C119" s="144"/>
    </row>
    <row r="120" spans="2:3" x14ac:dyDescent="0.25">
      <c r="B120" s="140"/>
      <c r="C120" s="144"/>
    </row>
    <row r="121" spans="2:3" x14ac:dyDescent="0.25">
      <c r="B121" s="140"/>
      <c r="C121" s="144"/>
    </row>
    <row r="122" spans="2:3" x14ac:dyDescent="0.25">
      <c r="B122" s="140"/>
      <c r="C122" s="144"/>
    </row>
    <row r="123" spans="2:3" x14ac:dyDescent="0.25">
      <c r="B123" s="140"/>
      <c r="C123" s="144"/>
    </row>
    <row r="124" spans="2:3" x14ac:dyDescent="0.25">
      <c r="B124" s="140"/>
      <c r="C124" s="144"/>
    </row>
    <row r="125" spans="2:3" x14ac:dyDescent="0.25">
      <c r="B125" s="140"/>
      <c r="C125" s="144"/>
    </row>
    <row r="126" spans="2:3" x14ac:dyDescent="0.25">
      <c r="B126" s="140"/>
      <c r="C126" s="144"/>
    </row>
    <row r="127" spans="2:3" x14ac:dyDescent="0.25">
      <c r="B127" s="140"/>
      <c r="C127" s="144"/>
    </row>
    <row r="128" spans="2:3" x14ac:dyDescent="0.25">
      <c r="B128" s="140"/>
      <c r="C128" s="144"/>
    </row>
    <row r="129" spans="2:3" x14ac:dyDescent="0.25">
      <c r="B129" s="140"/>
      <c r="C129" s="144"/>
    </row>
    <row r="130" spans="2:3" x14ac:dyDescent="0.25">
      <c r="B130" s="140"/>
      <c r="C130" s="144"/>
    </row>
    <row r="131" spans="2:3" x14ac:dyDescent="0.25">
      <c r="B131" s="140"/>
      <c r="C131" s="144"/>
    </row>
    <row r="132" spans="2:3" x14ac:dyDescent="0.25">
      <c r="B132" s="140"/>
      <c r="C132" s="144"/>
    </row>
    <row r="133" spans="2:3" x14ac:dyDescent="0.25">
      <c r="B133" s="140"/>
      <c r="C133" s="144"/>
    </row>
    <row r="134" spans="2:3" x14ac:dyDescent="0.25">
      <c r="B134" s="140"/>
      <c r="C134" s="144"/>
    </row>
    <row r="135" spans="2:3" x14ac:dyDescent="0.25">
      <c r="B135" s="140"/>
      <c r="C135" s="144"/>
    </row>
    <row r="136" spans="2:3" x14ac:dyDescent="0.25">
      <c r="B136" s="140"/>
      <c r="C136" s="144"/>
    </row>
    <row r="137" spans="2:3" x14ac:dyDescent="0.25">
      <c r="B137" s="140"/>
      <c r="C137" s="144"/>
    </row>
    <row r="138" spans="2:3" x14ac:dyDescent="0.25">
      <c r="B138" s="140"/>
      <c r="C138" s="144"/>
    </row>
    <row r="139" spans="2:3" x14ac:dyDescent="0.25">
      <c r="B139" s="140"/>
      <c r="C139" s="144"/>
    </row>
    <row r="140" spans="2:3" x14ac:dyDescent="0.25">
      <c r="B140" s="140"/>
      <c r="C140" s="144"/>
    </row>
    <row r="141" spans="2:3" x14ac:dyDescent="0.25">
      <c r="B141" s="140"/>
      <c r="C141" s="144"/>
    </row>
    <row r="142" spans="2:3" x14ac:dyDescent="0.25">
      <c r="B142" s="140"/>
      <c r="C142" s="144"/>
    </row>
    <row r="143" spans="2:3" x14ac:dyDescent="0.25">
      <c r="B143" s="140"/>
      <c r="C143" s="144"/>
    </row>
    <row r="144" spans="2:3" x14ac:dyDescent="0.25">
      <c r="B144" s="140"/>
      <c r="C144" s="144"/>
    </row>
    <row r="145" spans="2:3" x14ac:dyDescent="0.25">
      <c r="B145" s="140"/>
      <c r="C145" s="144"/>
    </row>
    <row r="146" spans="2:3" x14ac:dyDescent="0.25">
      <c r="B146" s="140"/>
      <c r="C146" s="144"/>
    </row>
    <row r="147" spans="2:3" x14ac:dyDescent="0.25">
      <c r="B147" s="140"/>
      <c r="C147" s="144"/>
    </row>
    <row r="148" spans="2:3" x14ac:dyDescent="0.25">
      <c r="B148" s="140"/>
      <c r="C148" s="144"/>
    </row>
    <row r="149" spans="2:3" x14ac:dyDescent="0.25">
      <c r="B149" s="140"/>
      <c r="C149" s="144"/>
    </row>
    <row r="150" spans="2:3" x14ac:dyDescent="0.25">
      <c r="B150" s="140"/>
      <c r="C150" s="144"/>
    </row>
    <row r="151" spans="2:3" x14ac:dyDescent="0.25">
      <c r="B151" s="140"/>
      <c r="C151" s="144"/>
    </row>
    <row r="152" spans="2:3" x14ac:dyDescent="0.25">
      <c r="B152" s="140"/>
      <c r="C152" s="144"/>
    </row>
    <row r="153" spans="2:3" x14ac:dyDescent="0.25">
      <c r="B153" s="140"/>
      <c r="C153" s="144"/>
    </row>
    <row r="154" spans="2:3" x14ac:dyDescent="0.25">
      <c r="B154" s="140"/>
      <c r="C154" s="144"/>
    </row>
    <row r="155" spans="2:3" x14ac:dyDescent="0.25">
      <c r="B155" s="140"/>
      <c r="C155" s="144"/>
    </row>
    <row r="156" spans="2:3" x14ac:dyDescent="0.25">
      <c r="B156" s="140"/>
      <c r="C156" s="144"/>
    </row>
    <row r="157" spans="2:3" x14ac:dyDescent="0.25">
      <c r="B157" s="140"/>
      <c r="C157" s="144"/>
    </row>
    <row r="158" spans="2:3" x14ac:dyDescent="0.25">
      <c r="B158" s="140"/>
      <c r="C158" s="144"/>
    </row>
    <row r="159" spans="2:3" x14ac:dyDescent="0.25">
      <c r="B159" s="140"/>
      <c r="C159" s="144"/>
    </row>
    <row r="160" spans="2:3" x14ac:dyDescent="0.25">
      <c r="B160" s="140"/>
      <c r="C160" s="144"/>
    </row>
    <row r="161" spans="2:3" x14ac:dyDescent="0.25">
      <c r="B161" s="140"/>
      <c r="C161" s="144"/>
    </row>
    <row r="162" spans="2:3" x14ac:dyDescent="0.25">
      <c r="B162" s="140"/>
      <c r="C162" s="144"/>
    </row>
    <row r="163" spans="2:3" x14ac:dyDescent="0.25">
      <c r="B163" s="140"/>
      <c r="C163" s="144"/>
    </row>
    <row r="164" spans="2:3" x14ac:dyDescent="0.25">
      <c r="B164" s="140"/>
      <c r="C164" s="144"/>
    </row>
    <row r="165" spans="2:3" x14ac:dyDescent="0.25">
      <c r="B165" s="140"/>
      <c r="C165" s="144"/>
    </row>
    <row r="166" spans="2:3" x14ac:dyDescent="0.25">
      <c r="B166" s="140"/>
      <c r="C166" s="144"/>
    </row>
    <row r="167" spans="2:3" x14ac:dyDescent="0.25">
      <c r="B167" s="140"/>
      <c r="C167" s="144"/>
    </row>
    <row r="168" spans="2:3" x14ac:dyDescent="0.25">
      <c r="B168" s="140"/>
      <c r="C168" s="144"/>
    </row>
    <row r="169" spans="2:3" x14ac:dyDescent="0.25">
      <c r="B169" s="140"/>
      <c r="C169" s="144"/>
    </row>
    <row r="170" spans="2:3" x14ac:dyDescent="0.25">
      <c r="B170" s="140"/>
      <c r="C170" s="144"/>
    </row>
    <row r="171" spans="2:3" x14ac:dyDescent="0.25">
      <c r="B171" s="140"/>
      <c r="C171" s="144"/>
    </row>
    <row r="172" spans="2:3" x14ac:dyDescent="0.25">
      <c r="B172" s="140"/>
      <c r="C172" s="144"/>
    </row>
    <row r="173" spans="2:3" x14ac:dyDescent="0.25">
      <c r="B173" s="140"/>
      <c r="C173" s="144"/>
    </row>
    <row r="174" spans="2:3" x14ac:dyDescent="0.25">
      <c r="B174" s="140"/>
      <c r="C174" s="144"/>
    </row>
    <row r="175" spans="2:3" x14ac:dyDescent="0.25">
      <c r="B175" s="140"/>
      <c r="C175" s="144"/>
    </row>
    <row r="176" spans="2:3" x14ac:dyDescent="0.25">
      <c r="B176" s="140"/>
      <c r="C176" s="144"/>
    </row>
    <row r="177" spans="2:3" x14ac:dyDescent="0.25">
      <c r="B177" s="140"/>
      <c r="C177" s="144"/>
    </row>
    <row r="178" spans="2:3" x14ac:dyDescent="0.25">
      <c r="B178" s="140"/>
      <c r="C178" s="144"/>
    </row>
    <row r="179" spans="2:3" x14ac:dyDescent="0.25">
      <c r="B179" s="140"/>
      <c r="C179" s="144"/>
    </row>
    <row r="180" spans="2:3" x14ac:dyDescent="0.25">
      <c r="B180" s="140"/>
      <c r="C180" s="144"/>
    </row>
    <row r="181" spans="2:3" x14ac:dyDescent="0.25">
      <c r="B181" s="140"/>
      <c r="C181" s="144"/>
    </row>
    <row r="182" spans="2:3" x14ac:dyDescent="0.25">
      <c r="B182" s="140"/>
      <c r="C182" s="144"/>
    </row>
    <row r="183" spans="2:3" x14ac:dyDescent="0.25">
      <c r="B183" s="140"/>
      <c r="C183" s="144"/>
    </row>
    <row r="184" spans="2:3" x14ac:dyDescent="0.25">
      <c r="B184" s="140"/>
      <c r="C184" s="144"/>
    </row>
    <row r="185" spans="2:3" x14ac:dyDescent="0.25">
      <c r="B185" s="140"/>
      <c r="C185" s="144"/>
    </row>
    <row r="186" spans="2:3" x14ac:dyDescent="0.25">
      <c r="B186" s="140"/>
      <c r="C186" s="144"/>
    </row>
    <row r="187" spans="2:3" x14ac:dyDescent="0.25">
      <c r="B187" s="140"/>
      <c r="C187" s="144"/>
    </row>
    <row r="188" spans="2:3" x14ac:dyDescent="0.25">
      <c r="B188" s="140"/>
      <c r="C188" s="144"/>
    </row>
    <row r="189" spans="2:3" x14ac:dyDescent="0.25">
      <c r="B189" s="140"/>
      <c r="C189" s="144"/>
    </row>
    <row r="190" spans="2:3" x14ac:dyDescent="0.25">
      <c r="B190" s="140"/>
      <c r="C190" s="144"/>
    </row>
    <row r="191" spans="2:3" x14ac:dyDescent="0.25">
      <c r="B191" s="140"/>
      <c r="C191" s="144"/>
    </row>
    <row r="192" spans="2:3" x14ac:dyDescent="0.25">
      <c r="B192" s="140"/>
      <c r="C192" s="144"/>
    </row>
    <row r="193" spans="2:3" x14ac:dyDescent="0.25">
      <c r="B193" s="140"/>
      <c r="C193" s="144"/>
    </row>
    <row r="194" spans="2:3" x14ac:dyDescent="0.25">
      <c r="B194" s="140"/>
      <c r="C194" s="144"/>
    </row>
    <row r="195" spans="2:3" x14ac:dyDescent="0.25">
      <c r="B195" s="140"/>
      <c r="C195" s="144"/>
    </row>
    <row r="196" spans="2:3" x14ac:dyDescent="0.25">
      <c r="B196" s="140"/>
      <c r="C196" s="144"/>
    </row>
    <row r="197" spans="2:3" x14ac:dyDescent="0.25">
      <c r="B197" s="140"/>
      <c r="C197" s="144"/>
    </row>
    <row r="198" spans="2:3" x14ac:dyDescent="0.25">
      <c r="B198" s="140"/>
      <c r="C198" s="144"/>
    </row>
    <row r="199" spans="2:3" x14ac:dyDescent="0.25">
      <c r="B199" s="140"/>
      <c r="C199" s="144"/>
    </row>
    <row r="200" spans="2:3" x14ac:dyDescent="0.25">
      <c r="B200" s="140"/>
      <c r="C200" s="144"/>
    </row>
    <row r="201" spans="2:3" x14ac:dyDescent="0.25">
      <c r="B201" s="140"/>
      <c r="C201" s="144"/>
    </row>
    <row r="202" spans="2:3" x14ac:dyDescent="0.25">
      <c r="B202" s="140"/>
      <c r="C202" s="144"/>
    </row>
    <row r="203" spans="2:3" x14ac:dyDescent="0.25">
      <c r="B203" s="140"/>
      <c r="C203" s="144"/>
    </row>
    <row r="204" spans="2:3" x14ac:dyDescent="0.25">
      <c r="B204" s="140"/>
      <c r="C204" s="144"/>
    </row>
    <row r="205" spans="2:3" x14ac:dyDescent="0.25">
      <c r="B205" s="140"/>
      <c r="C205" s="144"/>
    </row>
    <row r="206" spans="2:3" x14ac:dyDescent="0.25">
      <c r="B206" s="140"/>
      <c r="C206" s="144"/>
    </row>
    <row r="207" spans="2:3" x14ac:dyDescent="0.25">
      <c r="B207" s="140"/>
      <c r="C207" s="144"/>
    </row>
    <row r="208" spans="2:3" x14ac:dyDescent="0.25">
      <c r="B208" s="140"/>
      <c r="C208" s="144"/>
    </row>
    <row r="209" spans="2:3" x14ac:dyDescent="0.25">
      <c r="B209" s="140"/>
      <c r="C209" s="144"/>
    </row>
    <row r="210" spans="2:3" x14ac:dyDescent="0.25">
      <c r="B210" s="140"/>
      <c r="C210" s="144"/>
    </row>
    <row r="211" spans="2:3" x14ac:dyDescent="0.25">
      <c r="B211" s="140"/>
      <c r="C211" s="144"/>
    </row>
    <row r="212" spans="2:3" x14ac:dyDescent="0.25">
      <c r="B212" s="140"/>
      <c r="C212" s="144"/>
    </row>
    <row r="213" spans="2:3" x14ac:dyDescent="0.25">
      <c r="B213" s="140"/>
      <c r="C213" s="144"/>
    </row>
    <row r="214" spans="2:3" x14ac:dyDescent="0.25">
      <c r="B214" s="140"/>
      <c r="C214" s="144"/>
    </row>
    <row r="215" spans="2:3" x14ac:dyDescent="0.25">
      <c r="B215" s="140"/>
      <c r="C215" s="144"/>
    </row>
    <row r="216" spans="2:3" x14ac:dyDescent="0.25">
      <c r="B216" s="140"/>
      <c r="C216" s="144"/>
    </row>
    <row r="217" spans="2:3" x14ac:dyDescent="0.25">
      <c r="B217" s="140"/>
      <c r="C217" s="144"/>
    </row>
    <row r="218" spans="2:3" x14ac:dyDescent="0.25">
      <c r="B218" s="140"/>
      <c r="C218" s="144"/>
    </row>
    <row r="219" spans="2:3" x14ac:dyDescent="0.25">
      <c r="B219" s="140"/>
      <c r="C219" s="144"/>
    </row>
    <row r="220" spans="2:3" x14ac:dyDescent="0.25">
      <c r="B220" s="140"/>
      <c r="C220" s="144"/>
    </row>
    <row r="221" spans="2:3" x14ac:dyDescent="0.25">
      <c r="B221" s="140"/>
      <c r="C221" s="144"/>
    </row>
    <row r="222" spans="2:3" x14ac:dyDescent="0.25">
      <c r="B222" s="140"/>
      <c r="C222" s="144"/>
    </row>
    <row r="223" spans="2:3" x14ac:dyDescent="0.25">
      <c r="B223" s="140"/>
      <c r="C223" s="144"/>
    </row>
    <row r="224" spans="2:3" x14ac:dyDescent="0.25">
      <c r="B224" s="140"/>
      <c r="C224" s="144"/>
    </row>
    <row r="225" spans="2:3" x14ac:dyDescent="0.25">
      <c r="B225" s="140"/>
      <c r="C225" s="144"/>
    </row>
    <row r="226" spans="2:3" x14ac:dyDescent="0.25">
      <c r="B226" s="140"/>
      <c r="C226" s="144"/>
    </row>
    <row r="227" spans="2:3" x14ac:dyDescent="0.25">
      <c r="B227" s="140"/>
      <c r="C227" s="144"/>
    </row>
    <row r="228" spans="2:3" x14ac:dyDescent="0.25">
      <c r="B228" s="140"/>
      <c r="C228" s="144"/>
    </row>
    <row r="229" spans="2:3" x14ac:dyDescent="0.25">
      <c r="B229" s="140"/>
      <c r="C229" s="144"/>
    </row>
    <row r="230" spans="2:3" x14ac:dyDescent="0.25">
      <c r="B230" s="140"/>
      <c r="C230" s="144"/>
    </row>
    <row r="231" spans="2:3" x14ac:dyDescent="0.25">
      <c r="B231" s="140"/>
      <c r="C231" s="144"/>
    </row>
    <row r="232" spans="2:3" x14ac:dyDescent="0.25">
      <c r="B232" s="140"/>
      <c r="C232" s="144"/>
    </row>
    <row r="233" spans="2:3" x14ac:dyDescent="0.25">
      <c r="B233" s="140"/>
      <c r="C233" s="144"/>
    </row>
    <row r="234" spans="2:3" x14ac:dyDescent="0.25">
      <c r="B234" s="140"/>
      <c r="C234" s="144"/>
    </row>
    <row r="235" spans="2:3" x14ac:dyDescent="0.25">
      <c r="B235" s="140"/>
      <c r="C235" s="144"/>
    </row>
    <row r="236" spans="2:3" x14ac:dyDescent="0.25">
      <c r="B236" s="140"/>
      <c r="C236" s="144"/>
    </row>
    <row r="237" spans="2:3" x14ac:dyDescent="0.25">
      <c r="B237" s="140"/>
      <c r="C237" s="144"/>
    </row>
    <row r="238" spans="2:3" x14ac:dyDescent="0.25">
      <c r="B238" s="140"/>
      <c r="C238" s="144"/>
    </row>
    <row r="239" spans="2:3" x14ac:dyDescent="0.25">
      <c r="B239" s="140"/>
      <c r="C239" s="144"/>
    </row>
    <row r="240" spans="2:3" x14ac:dyDescent="0.25">
      <c r="B240" s="140"/>
      <c r="C240" s="144"/>
    </row>
    <row r="241" spans="2:3" x14ac:dyDescent="0.25">
      <c r="B241" s="140"/>
      <c r="C241" s="144"/>
    </row>
    <row r="242" spans="2:3" x14ac:dyDescent="0.25">
      <c r="B242" s="140"/>
      <c r="C242" s="144"/>
    </row>
    <row r="243" spans="2:3" x14ac:dyDescent="0.25">
      <c r="B243" s="140"/>
      <c r="C243" s="144"/>
    </row>
    <row r="244" spans="2:3" x14ac:dyDescent="0.25">
      <c r="B244" s="140"/>
      <c r="C244" s="144"/>
    </row>
    <row r="245" spans="2:3" x14ac:dyDescent="0.25">
      <c r="B245" s="140"/>
      <c r="C245" s="144"/>
    </row>
    <row r="246" spans="2:3" x14ac:dyDescent="0.25">
      <c r="B246" s="140"/>
      <c r="C246" s="144"/>
    </row>
    <row r="247" spans="2:3" x14ac:dyDescent="0.25">
      <c r="B247" s="140"/>
      <c r="C247" s="144"/>
    </row>
    <row r="248" spans="2:3" x14ac:dyDescent="0.25">
      <c r="B248" s="140"/>
      <c r="C248" s="144"/>
    </row>
    <row r="249" spans="2:3" x14ac:dyDescent="0.25">
      <c r="B249" s="140"/>
      <c r="C249" s="144"/>
    </row>
    <row r="250" spans="2:3" x14ac:dyDescent="0.25">
      <c r="B250" s="140"/>
      <c r="C250" s="144"/>
    </row>
    <row r="251" spans="2:3" x14ac:dyDescent="0.25">
      <c r="B251" s="140"/>
      <c r="C251" s="144"/>
    </row>
    <row r="252" spans="2:3" x14ac:dyDescent="0.25">
      <c r="B252" s="140"/>
      <c r="C252" s="144"/>
    </row>
    <row r="253" spans="2:3" x14ac:dyDescent="0.25">
      <c r="B253" s="140"/>
      <c r="C253" s="144"/>
    </row>
    <row r="254" spans="2:3" x14ac:dyDescent="0.25">
      <c r="B254" s="140"/>
      <c r="C254" s="144"/>
    </row>
    <row r="255" spans="2:3" x14ac:dyDescent="0.25">
      <c r="B255" s="140"/>
      <c r="C255" s="144"/>
    </row>
    <row r="256" spans="2:3" x14ac:dyDescent="0.25">
      <c r="B256" s="140"/>
      <c r="C256" s="144"/>
    </row>
    <row r="257" spans="2:3" x14ac:dyDescent="0.25">
      <c r="B257" s="140"/>
      <c r="C257" s="144"/>
    </row>
    <row r="258" spans="2:3" x14ac:dyDescent="0.25">
      <c r="B258" s="140"/>
      <c r="C258" s="144"/>
    </row>
    <row r="259" spans="2:3" x14ac:dyDescent="0.25">
      <c r="B259" s="140"/>
      <c r="C259" s="144"/>
    </row>
    <row r="260" spans="2:3" x14ac:dyDescent="0.25">
      <c r="B260" s="140"/>
      <c r="C260" s="144"/>
    </row>
    <row r="261" spans="2:3" x14ac:dyDescent="0.25">
      <c r="B261" s="140"/>
      <c r="C261" s="144"/>
    </row>
    <row r="262" spans="2:3" x14ac:dyDescent="0.25">
      <c r="B262" s="140"/>
      <c r="C262" s="144"/>
    </row>
    <row r="263" spans="2:3" x14ac:dyDescent="0.25">
      <c r="B263" s="140"/>
      <c r="C263" s="144"/>
    </row>
    <row r="264" spans="2:3" x14ac:dyDescent="0.25">
      <c r="B264" s="140"/>
      <c r="C264" s="144"/>
    </row>
    <row r="265" spans="2:3" x14ac:dyDescent="0.25">
      <c r="B265" s="140"/>
      <c r="C265" s="144"/>
    </row>
    <row r="266" spans="2:3" x14ac:dyDescent="0.25">
      <c r="B266" s="140"/>
      <c r="C266" s="144"/>
    </row>
    <row r="267" spans="2:3" x14ac:dyDescent="0.25">
      <c r="B267" s="140"/>
      <c r="C267" s="144"/>
    </row>
    <row r="268" spans="2:3" x14ac:dyDescent="0.25">
      <c r="B268" s="140"/>
      <c r="C268" s="144"/>
    </row>
    <row r="269" spans="2:3" x14ac:dyDescent="0.25">
      <c r="B269" s="140"/>
      <c r="C269" s="144"/>
    </row>
    <row r="270" spans="2:3" x14ac:dyDescent="0.25">
      <c r="B270" s="140"/>
      <c r="C270" s="144"/>
    </row>
    <row r="271" spans="2:3" x14ac:dyDescent="0.25">
      <c r="B271" s="140"/>
      <c r="C271" s="144"/>
    </row>
    <row r="272" spans="2:3" x14ac:dyDescent="0.25">
      <c r="B272" s="140"/>
      <c r="C272" s="144"/>
    </row>
    <row r="273" spans="2:3" x14ac:dyDescent="0.25">
      <c r="B273" s="140"/>
      <c r="C273" s="144"/>
    </row>
    <row r="274" spans="2:3" x14ac:dyDescent="0.25">
      <c r="B274" s="140"/>
      <c r="C274" s="144"/>
    </row>
    <row r="275" spans="2:3" x14ac:dyDescent="0.25">
      <c r="B275" s="140"/>
      <c r="C275" s="144"/>
    </row>
    <row r="276" spans="2:3" x14ac:dyDescent="0.25">
      <c r="B276" s="140"/>
      <c r="C276" s="144"/>
    </row>
    <row r="1131" spans="2:2" x14ac:dyDescent="0.25">
      <c r="B1131" s="140"/>
    </row>
    <row r="1132" spans="2:2" x14ac:dyDescent="0.25">
      <c r="B1132" s="140"/>
    </row>
    <row r="1133" spans="2:2" x14ac:dyDescent="0.25">
      <c r="B1133" s="140"/>
    </row>
    <row r="1134" spans="2:2" x14ac:dyDescent="0.25">
      <c r="B1134" s="140"/>
    </row>
  </sheetData>
  <mergeCells count="2">
    <mergeCell ref="A1:B1"/>
    <mergeCell ref="F1:T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0"/>
  <sheetViews>
    <sheetView topLeftCell="F1" zoomScaleNormal="100" workbookViewId="0">
      <selection activeCell="D6" sqref="D6"/>
    </sheetView>
  </sheetViews>
  <sheetFormatPr baseColWidth="10" defaultRowHeight="15" x14ac:dyDescent="0.25"/>
  <cols>
    <col min="1" max="1" width="28.28515625" customWidth="1"/>
    <col min="3" max="5" width="12.42578125" bestFit="1" customWidth="1"/>
    <col min="6" max="6" width="14" bestFit="1" customWidth="1"/>
    <col min="7" max="21" width="12.42578125" bestFit="1" customWidth="1"/>
  </cols>
  <sheetData>
    <row r="2" spans="1:21" ht="14.45" x14ac:dyDescent="0.3">
      <c r="L2" s="10">
        <v>2000000</v>
      </c>
    </row>
    <row r="3" spans="1:21" ht="15.75" x14ac:dyDescent="0.25">
      <c r="A3" s="220" t="s">
        <v>45</v>
      </c>
      <c r="B3" s="221" t="s">
        <v>40</v>
      </c>
      <c r="C3" s="221" t="s">
        <v>39</v>
      </c>
      <c r="D3" s="221" t="s">
        <v>38</v>
      </c>
      <c r="E3" s="221" t="s">
        <v>37</v>
      </c>
      <c r="F3" s="221" t="s">
        <v>36</v>
      </c>
      <c r="G3" s="221" t="s">
        <v>35</v>
      </c>
      <c r="H3" s="221" t="s">
        <v>34</v>
      </c>
      <c r="I3" s="221" t="s">
        <v>33</v>
      </c>
      <c r="J3" s="221" t="s">
        <v>32</v>
      </c>
      <c r="K3" s="221" t="s">
        <v>31</v>
      </c>
      <c r="L3" s="221" t="s">
        <v>30</v>
      </c>
      <c r="M3" s="221" t="s">
        <v>29</v>
      </c>
      <c r="N3" s="221" t="s">
        <v>28</v>
      </c>
      <c r="O3" s="221" t="s">
        <v>27</v>
      </c>
      <c r="P3" s="221" t="s">
        <v>26</v>
      </c>
      <c r="Q3" s="221" t="s">
        <v>25</v>
      </c>
      <c r="R3" s="221" t="s">
        <v>24</v>
      </c>
      <c r="S3" s="221" t="s">
        <v>23</v>
      </c>
      <c r="T3" s="221" t="s">
        <v>22</v>
      </c>
      <c r="U3" s="221" t="s">
        <v>21</v>
      </c>
    </row>
    <row r="4" spans="1:21" x14ac:dyDescent="0.25">
      <c r="A4" s="9" t="s">
        <v>44</v>
      </c>
      <c r="B4" s="680" t="s">
        <v>19</v>
      </c>
      <c r="C4" s="8">
        <v>3500</v>
      </c>
      <c r="D4" s="8">
        <f t="shared" ref="D4:U4" si="0">C4*1.03</f>
        <v>3605</v>
      </c>
      <c r="E4" s="8">
        <f t="shared" si="0"/>
        <v>3713.15</v>
      </c>
      <c r="F4" s="8">
        <f t="shared" si="0"/>
        <v>3824.5445</v>
      </c>
      <c r="G4" s="8">
        <f t="shared" si="0"/>
        <v>3939.280835</v>
      </c>
      <c r="H4" s="8">
        <f t="shared" si="0"/>
        <v>4057.45926005</v>
      </c>
      <c r="I4" s="8">
        <f t="shared" si="0"/>
        <v>4179.1830378515006</v>
      </c>
      <c r="J4" s="8">
        <f t="shared" si="0"/>
        <v>4304.558528987046</v>
      </c>
      <c r="K4" s="8">
        <f t="shared" si="0"/>
        <v>4433.6952848566571</v>
      </c>
      <c r="L4" s="8">
        <f t="shared" si="0"/>
        <v>4566.7061434023572</v>
      </c>
      <c r="M4" s="8">
        <f t="shared" si="0"/>
        <v>4703.7073277044283</v>
      </c>
      <c r="N4" s="8">
        <f t="shared" si="0"/>
        <v>4844.8185475355613</v>
      </c>
      <c r="O4" s="8">
        <f t="shared" si="0"/>
        <v>4990.1631039616286</v>
      </c>
      <c r="P4" s="8">
        <f t="shared" si="0"/>
        <v>5139.8679970804778</v>
      </c>
      <c r="Q4" s="8">
        <f t="shared" si="0"/>
        <v>5294.0640369928924</v>
      </c>
      <c r="R4" s="8">
        <f t="shared" si="0"/>
        <v>5452.8859581026791</v>
      </c>
      <c r="S4" s="8">
        <f t="shared" si="0"/>
        <v>5616.4725368457594</v>
      </c>
      <c r="T4" s="8">
        <f t="shared" si="0"/>
        <v>5784.9667129511326</v>
      </c>
      <c r="U4" s="8">
        <f t="shared" si="0"/>
        <v>5958.5157143396664</v>
      </c>
    </row>
    <row r="5" spans="1:21" x14ac:dyDescent="0.25">
      <c r="A5" s="9" t="s">
        <v>43</v>
      </c>
      <c r="B5" s="680"/>
      <c r="C5" s="8">
        <v>4200</v>
      </c>
      <c r="D5" s="8">
        <f t="shared" ref="D5:U5" si="1">C5*1.03</f>
        <v>4326</v>
      </c>
      <c r="E5" s="8">
        <f t="shared" si="1"/>
        <v>4455.78</v>
      </c>
      <c r="F5" s="8">
        <f t="shared" si="1"/>
        <v>4589.4533999999994</v>
      </c>
      <c r="G5" s="8">
        <f t="shared" si="1"/>
        <v>4727.1370019999995</v>
      </c>
      <c r="H5" s="8">
        <f t="shared" si="1"/>
        <v>4868.95111206</v>
      </c>
      <c r="I5" s="8">
        <f t="shared" si="1"/>
        <v>5015.0196454218003</v>
      </c>
      <c r="J5" s="8">
        <f t="shared" si="1"/>
        <v>5165.4702347844541</v>
      </c>
      <c r="K5" s="8">
        <f t="shared" si="1"/>
        <v>5320.4343418279877</v>
      </c>
      <c r="L5" s="8">
        <f t="shared" si="1"/>
        <v>5480.0473720828277</v>
      </c>
      <c r="M5" s="8">
        <f t="shared" si="1"/>
        <v>5644.448793245313</v>
      </c>
      <c r="N5" s="8">
        <f t="shared" si="1"/>
        <v>5813.7822570426724</v>
      </c>
      <c r="O5" s="8">
        <f t="shared" si="1"/>
        <v>5988.1957247539531</v>
      </c>
      <c r="P5" s="8">
        <f t="shared" si="1"/>
        <v>6167.8415964965716</v>
      </c>
      <c r="Q5" s="8">
        <f t="shared" si="1"/>
        <v>6352.8768443914687</v>
      </c>
      <c r="R5" s="8">
        <f t="shared" si="1"/>
        <v>6543.4631497232131</v>
      </c>
      <c r="S5" s="8">
        <f t="shared" si="1"/>
        <v>6739.7670442149092</v>
      </c>
      <c r="T5" s="8">
        <f t="shared" si="1"/>
        <v>6941.9600555413563</v>
      </c>
      <c r="U5" s="8">
        <f t="shared" si="1"/>
        <v>7150.2188572075975</v>
      </c>
    </row>
    <row r="6" spans="1:21" x14ac:dyDescent="0.25">
      <c r="A6" s="9" t="s">
        <v>42</v>
      </c>
      <c r="B6" s="680"/>
      <c r="C6" s="8">
        <f>2100*12</f>
        <v>25200</v>
      </c>
      <c r="D6" s="8">
        <f t="shared" ref="D6:U6" si="2">C6*1.03</f>
        <v>25956</v>
      </c>
      <c r="E6" s="8">
        <f t="shared" si="2"/>
        <v>26734.68</v>
      </c>
      <c r="F6" s="8">
        <f t="shared" si="2"/>
        <v>27536.720400000002</v>
      </c>
      <c r="G6" s="8">
        <f t="shared" si="2"/>
        <v>28362.822012000004</v>
      </c>
      <c r="H6" s="8">
        <f t="shared" si="2"/>
        <v>29213.706672360004</v>
      </c>
      <c r="I6" s="8">
        <f t="shared" si="2"/>
        <v>30090.117872530805</v>
      </c>
      <c r="J6" s="8">
        <f t="shared" si="2"/>
        <v>30992.821408706732</v>
      </c>
      <c r="K6" s="8">
        <f t="shared" si="2"/>
        <v>31922.606050967934</v>
      </c>
      <c r="L6" s="8">
        <f t="shared" si="2"/>
        <v>32880.284232496975</v>
      </c>
      <c r="M6" s="8">
        <f t="shared" si="2"/>
        <v>33866.692759471887</v>
      </c>
      <c r="N6" s="8">
        <f t="shared" si="2"/>
        <v>34882.693542256042</v>
      </c>
      <c r="O6" s="8">
        <f t="shared" si="2"/>
        <v>35929.174348523724</v>
      </c>
      <c r="P6" s="8">
        <f t="shared" si="2"/>
        <v>37007.049578979437</v>
      </c>
      <c r="Q6" s="8">
        <f t="shared" si="2"/>
        <v>38117.261066348823</v>
      </c>
      <c r="R6" s="8">
        <f t="shared" si="2"/>
        <v>39260.778898339289</v>
      </c>
      <c r="S6" s="8">
        <f t="shared" si="2"/>
        <v>40438.602265289468</v>
      </c>
      <c r="T6" s="8">
        <f t="shared" si="2"/>
        <v>41651.760333248152</v>
      </c>
      <c r="U6" s="8">
        <f t="shared" si="2"/>
        <v>42901.313143245599</v>
      </c>
    </row>
    <row r="7" spans="1:21" ht="14.45" x14ac:dyDescent="0.3">
      <c r="C7" s="8">
        <f t="shared" ref="C7:U7" si="3">SUM(C4:C6)</f>
        <v>32900</v>
      </c>
      <c r="D7" s="8">
        <f t="shared" si="3"/>
        <v>33887</v>
      </c>
      <c r="E7" s="8">
        <f t="shared" si="3"/>
        <v>34903.61</v>
      </c>
      <c r="F7" s="8">
        <f t="shared" si="3"/>
        <v>35950.7183</v>
      </c>
      <c r="G7" s="8">
        <f t="shared" si="3"/>
        <v>37029.239849000005</v>
      </c>
      <c r="H7" s="8">
        <f t="shared" si="3"/>
        <v>38140.117044470004</v>
      </c>
      <c r="I7" s="8">
        <f t="shared" si="3"/>
        <v>39284.320555804108</v>
      </c>
      <c r="J7" s="8">
        <f t="shared" si="3"/>
        <v>40462.850172478233</v>
      </c>
      <c r="K7" s="8">
        <f t="shared" si="3"/>
        <v>41676.735677652578</v>
      </c>
      <c r="L7" s="8">
        <f t="shared" si="3"/>
        <v>42927.037747982162</v>
      </c>
      <c r="M7" s="8">
        <f t="shared" si="3"/>
        <v>44214.848880421632</v>
      </c>
      <c r="N7" s="8">
        <f t="shared" si="3"/>
        <v>45541.294346834271</v>
      </c>
      <c r="O7" s="8">
        <f t="shared" si="3"/>
        <v>46907.533177239304</v>
      </c>
      <c r="P7" s="8">
        <f t="shared" si="3"/>
        <v>48314.759172556485</v>
      </c>
      <c r="Q7" s="8">
        <f t="shared" si="3"/>
        <v>49764.201947733185</v>
      </c>
      <c r="R7" s="8">
        <f t="shared" si="3"/>
        <v>51257.128006165178</v>
      </c>
      <c r="S7" s="8">
        <f t="shared" si="3"/>
        <v>52794.841846350137</v>
      </c>
      <c r="T7" s="8">
        <f t="shared" si="3"/>
        <v>54378.687101740637</v>
      </c>
      <c r="U7" s="8">
        <f t="shared" si="3"/>
        <v>56010.047714792861</v>
      </c>
    </row>
    <row r="9" spans="1:21" ht="15" customHeight="1" x14ac:dyDescent="0.25">
      <c r="A9" s="222" t="s">
        <v>41</v>
      </c>
      <c r="B9" s="221" t="s">
        <v>40</v>
      </c>
      <c r="C9" s="221" t="s">
        <v>39</v>
      </c>
      <c r="D9" s="221" t="s">
        <v>38</v>
      </c>
      <c r="E9" s="221" t="s">
        <v>37</v>
      </c>
      <c r="F9" s="221" t="s">
        <v>36</v>
      </c>
      <c r="G9" s="221" t="s">
        <v>35</v>
      </c>
      <c r="H9" s="221" t="s">
        <v>34</v>
      </c>
      <c r="I9" s="221" t="s">
        <v>33</v>
      </c>
      <c r="J9" s="221" t="s">
        <v>32</v>
      </c>
      <c r="K9" s="221" t="s">
        <v>31</v>
      </c>
      <c r="L9" s="221" t="s">
        <v>30</v>
      </c>
      <c r="M9" s="221" t="s">
        <v>29</v>
      </c>
      <c r="N9" s="221" t="s">
        <v>28</v>
      </c>
      <c r="O9" s="221" t="s">
        <v>27</v>
      </c>
      <c r="P9" s="221" t="s">
        <v>26</v>
      </c>
      <c r="Q9" s="221" t="s">
        <v>25</v>
      </c>
      <c r="R9" s="221" t="s">
        <v>24</v>
      </c>
      <c r="S9" s="221" t="s">
        <v>23</v>
      </c>
      <c r="T9" s="221" t="s">
        <v>22</v>
      </c>
      <c r="U9" s="221" t="s">
        <v>21</v>
      </c>
    </row>
    <row r="10" spans="1:21" ht="45" x14ac:dyDescent="0.25">
      <c r="A10" s="5" t="s">
        <v>20</v>
      </c>
      <c r="B10" s="4" t="s">
        <v>19</v>
      </c>
      <c r="C10" s="3">
        <f>L2*2%</f>
        <v>40000</v>
      </c>
      <c r="D10" s="3">
        <f>L2*0.023</f>
        <v>46000</v>
      </c>
      <c r="E10" s="3">
        <f>L2*0.025</f>
        <v>50000</v>
      </c>
      <c r="F10" s="3">
        <f>L2*0.06</f>
        <v>120000</v>
      </c>
      <c r="G10" s="3">
        <f>L2*0.025</f>
        <v>50000</v>
      </c>
      <c r="H10" s="3">
        <f>L2*0.028</f>
        <v>56000</v>
      </c>
      <c r="I10" s="3">
        <f>L2*0.029</f>
        <v>58000</v>
      </c>
      <c r="J10" s="3">
        <f>L2*0.03</f>
        <v>60000</v>
      </c>
      <c r="K10" s="3">
        <f>L2*0.04</f>
        <v>80000</v>
      </c>
      <c r="L10" s="3">
        <f t="shared" ref="L10:U10" si="4">$L$2*0.025</f>
        <v>50000</v>
      </c>
      <c r="M10" s="3">
        <f t="shared" si="4"/>
        <v>50000</v>
      </c>
      <c r="N10" s="3">
        <f t="shared" si="4"/>
        <v>50000</v>
      </c>
      <c r="O10" s="3">
        <f t="shared" si="4"/>
        <v>50000</v>
      </c>
      <c r="P10" s="3">
        <f t="shared" si="4"/>
        <v>50000</v>
      </c>
      <c r="Q10" s="3">
        <f t="shared" si="4"/>
        <v>50000</v>
      </c>
      <c r="R10" s="3">
        <f t="shared" si="4"/>
        <v>50000</v>
      </c>
      <c r="S10" s="3">
        <f t="shared" si="4"/>
        <v>50000</v>
      </c>
      <c r="T10" s="3">
        <f t="shared" si="4"/>
        <v>50000</v>
      </c>
      <c r="U10" s="3">
        <f t="shared" si="4"/>
        <v>50000</v>
      </c>
    </row>
  </sheetData>
  <mergeCells count="1">
    <mergeCell ref="B4:B6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53"/>
  <sheetViews>
    <sheetView topLeftCell="A7" zoomScaleNormal="100" workbookViewId="0">
      <selection activeCell="E59" sqref="E59"/>
    </sheetView>
  </sheetViews>
  <sheetFormatPr baseColWidth="10" defaultRowHeight="15" x14ac:dyDescent="0.25"/>
  <cols>
    <col min="2" max="2" width="20.42578125" bestFit="1" customWidth="1"/>
    <col min="3" max="3" width="28.28515625" customWidth="1"/>
    <col min="4" max="4" width="17.7109375" customWidth="1"/>
    <col min="5" max="5" width="12.28515625" bestFit="1" customWidth="1"/>
    <col min="6" max="6" width="14.28515625" bestFit="1" customWidth="1"/>
    <col min="7" max="7" width="12.28515625" bestFit="1" customWidth="1"/>
    <col min="8" max="8" width="14.28515625" bestFit="1" customWidth="1"/>
    <col min="9" max="9" width="15.7109375" bestFit="1" customWidth="1"/>
    <col min="10" max="10" width="14.28515625" bestFit="1" customWidth="1"/>
    <col min="11" max="11" width="15.7109375" bestFit="1" customWidth="1"/>
    <col min="12" max="12" width="14.28515625" bestFit="1" customWidth="1"/>
    <col min="13" max="13" width="19.28515625" customWidth="1"/>
    <col min="14" max="14" width="17" customWidth="1"/>
    <col min="15" max="27" width="13.28515625" bestFit="1" customWidth="1"/>
  </cols>
  <sheetData>
    <row r="1" spans="2:14" thickBot="1" x14ac:dyDescent="0.35"/>
    <row r="2" spans="2:14" ht="66.75" thickBot="1" x14ac:dyDescent="0.3">
      <c r="B2" s="24"/>
      <c r="C2" s="24" t="s">
        <v>85</v>
      </c>
      <c r="D2" s="25" t="s">
        <v>84</v>
      </c>
      <c r="E2" s="24" t="s">
        <v>83</v>
      </c>
      <c r="F2" s="24" t="s">
        <v>79</v>
      </c>
      <c r="G2" s="24" t="s">
        <v>82</v>
      </c>
      <c r="H2" s="24" t="s">
        <v>79</v>
      </c>
      <c r="I2" s="24" t="s">
        <v>81</v>
      </c>
      <c r="J2" s="24" t="s">
        <v>79</v>
      </c>
      <c r="K2" s="24" t="s">
        <v>80</v>
      </c>
      <c r="L2" s="24" t="s">
        <v>79</v>
      </c>
      <c r="M2" s="24" t="s">
        <v>78</v>
      </c>
      <c r="N2" s="24" t="s">
        <v>77</v>
      </c>
    </row>
    <row r="3" spans="2:14" ht="31.5" thickTop="1" thickBot="1" x14ac:dyDescent="0.3">
      <c r="B3" s="31" t="s">
        <v>94</v>
      </c>
      <c r="C3" s="32" t="s">
        <v>93</v>
      </c>
      <c r="D3" s="30">
        <f>'TABLA GENERAL FASE 1 Y 2'!H46</f>
        <v>1690</v>
      </c>
      <c r="E3" s="15">
        <f>'TABLA GENERAL FASE 1 Y 2'!J46</f>
        <v>14</v>
      </c>
      <c r="F3" s="30">
        <v>14400</v>
      </c>
      <c r="G3" s="15">
        <f>'TABLA GENERAL FASE 1 Y 2'!L46</f>
        <v>12</v>
      </c>
      <c r="H3" s="30">
        <v>14400</v>
      </c>
      <c r="I3" s="15">
        <f>'TABLA GENERAL FASE 1 Y 2'!N46</f>
        <v>12</v>
      </c>
      <c r="J3" s="30">
        <v>14400</v>
      </c>
      <c r="K3" s="15">
        <f>'TABLA GENERAL FASE 1 Y 2'!P46</f>
        <v>10</v>
      </c>
      <c r="L3" s="30">
        <v>14400</v>
      </c>
      <c r="M3" s="18">
        <v>48</v>
      </c>
      <c r="N3" s="30">
        <v>57600</v>
      </c>
    </row>
    <row r="4" spans="2:14" ht="26.25" thickTop="1" thickBot="1" x14ac:dyDescent="0.3">
      <c r="B4" s="31"/>
      <c r="C4" s="23" t="s">
        <v>62</v>
      </c>
      <c r="D4" s="15">
        <v>1E-3</v>
      </c>
      <c r="E4" s="681"/>
      <c r="F4" s="30">
        <f>$D$4*E3*$D$3</f>
        <v>23.66</v>
      </c>
      <c r="G4" s="681"/>
      <c r="H4" s="30">
        <f>$D$4*G3*$D$3</f>
        <v>20.28</v>
      </c>
      <c r="I4" s="681"/>
      <c r="J4" s="30">
        <f>$D$4*I3*$D$3</f>
        <v>20.28</v>
      </c>
      <c r="K4" s="681"/>
      <c r="L4" s="30">
        <f>$D$4*K3*$D$3</f>
        <v>16.899999999999999</v>
      </c>
      <c r="M4" s="681"/>
      <c r="N4" s="30">
        <f>$D$4*M3*$D$3</f>
        <v>81.12</v>
      </c>
    </row>
    <row r="5" spans="2:14" ht="15.75" thickBot="1" x14ac:dyDescent="0.3">
      <c r="B5" s="31"/>
      <c r="C5" s="23" t="s">
        <v>60</v>
      </c>
      <c r="D5" s="15">
        <v>1E-3</v>
      </c>
      <c r="E5" s="682"/>
      <c r="F5" s="30">
        <f>$D$5*E3*$D$3</f>
        <v>23.66</v>
      </c>
      <c r="G5" s="682"/>
      <c r="H5" s="30">
        <f>$D$5*G3*$D$3</f>
        <v>20.28</v>
      </c>
      <c r="I5" s="682"/>
      <c r="J5" s="30">
        <f>$D$5*I3*$D$3</f>
        <v>20.28</v>
      </c>
      <c r="K5" s="682"/>
      <c r="L5" s="30">
        <f>$D$5*K3*$D$3</f>
        <v>16.899999999999999</v>
      </c>
      <c r="M5" s="682"/>
      <c r="N5" s="30">
        <f>$D$5*M3*$D$3</f>
        <v>81.12</v>
      </c>
    </row>
    <row r="6" spans="2:14" ht="15.75" thickBot="1" x14ac:dyDescent="0.3">
      <c r="B6" s="31"/>
      <c r="C6" s="23" t="s">
        <v>88</v>
      </c>
      <c r="D6" s="15">
        <v>0.03</v>
      </c>
      <c r="E6" s="683"/>
      <c r="F6" s="33">
        <f>$D$6*E3*$D$3</f>
        <v>709.8</v>
      </c>
      <c r="G6" s="683"/>
      <c r="H6" s="33">
        <f>$D$6*G3*$D$3</f>
        <v>608.4</v>
      </c>
      <c r="I6" s="683"/>
      <c r="J6" s="33">
        <f>$D$6*I3*$D$3</f>
        <v>608.4</v>
      </c>
      <c r="K6" s="683"/>
      <c r="L6" s="33">
        <f>$D$6*K3*$D$3</f>
        <v>507</v>
      </c>
      <c r="M6" s="683"/>
      <c r="N6" s="30">
        <f>$D$6*M3*$D$3</f>
        <v>2433.6</v>
      </c>
    </row>
    <row r="7" spans="2:14" ht="15.6" thickTop="1" thickBot="1" x14ac:dyDescent="0.35">
      <c r="B7" s="31" t="s">
        <v>92</v>
      </c>
      <c r="C7" s="32" t="s">
        <v>91</v>
      </c>
      <c r="D7" s="30">
        <f>'TABLA GENERAL FASE 1 Y 2'!H47</f>
        <v>13300</v>
      </c>
      <c r="E7" s="15">
        <f>'TABLA GENERAL FASE 1 Y 2'!J47</f>
        <v>12</v>
      </c>
      <c r="F7" s="30">
        <v>159600</v>
      </c>
      <c r="G7" s="15">
        <f>'TABLA GENERAL FASE 1 Y 2'!L47</f>
        <v>12</v>
      </c>
      <c r="H7" s="30">
        <v>159600</v>
      </c>
      <c r="I7" s="15">
        <f>'TABLA GENERAL FASE 1 Y 2'!N47</f>
        <v>12</v>
      </c>
      <c r="J7" s="30">
        <v>159600</v>
      </c>
      <c r="K7" s="15">
        <f>'TABLA GENERAL FASE 1 Y 2'!P47</f>
        <v>24</v>
      </c>
      <c r="L7" s="30">
        <v>478800</v>
      </c>
      <c r="M7" s="18">
        <v>72</v>
      </c>
      <c r="N7" s="30">
        <v>957600</v>
      </c>
    </row>
    <row r="8" spans="2:14" ht="26.25" thickTop="1" thickBot="1" x14ac:dyDescent="0.3">
      <c r="B8" s="31"/>
      <c r="C8" s="23" t="s">
        <v>62</v>
      </c>
      <c r="D8" s="15">
        <v>1E-3</v>
      </c>
      <c r="E8" s="681"/>
      <c r="F8" s="30">
        <f>$D$9*E7*$D$7</f>
        <v>159.6</v>
      </c>
      <c r="G8" s="681"/>
      <c r="H8" s="30">
        <f>$D$9*G7*$D$7</f>
        <v>159.6</v>
      </c>
      <c r="I8" s="681"/>
      <c r="J8" s="30">
        <f>$D$9*I7*$D$7</f>
        <v>159.6</v>
      </c>
      <c r="K8" s="681"/>
      <c r="L8" s="30">
        <f>$D$9*K7*$D$7</f>
        <v>319.2</v>
      </c>
      <c r="M8" s="681"/>
      <c r="N8" s="30">
        <f>$D$9*M7*$D$7</f>
        <v>957.60000000000014</v>
      </c>
    </row>
    <row r="9" spans="2:14" ht="15.75" thickBot="1" x14ac:dyDescent="0.3">
      <c r="B9" s="31"/>
      <c r="C9" s="17" t="s">
        <v>60</v>
      </c>
      <c r="D9" s="15">
        <v>1E-3</v>
      </c>
      <c r="E9" s="682"/>
      <c r="F9" s="30">
        <f>$D$9*E7*$D$7</f>
        <v>159.6</v>
      </c>
      <c r="G9" s="682"/>
      <c r="H9" s="30">
        <f>$D$9*G7*$D$7</f>
        <v>159.6</v>
      </c>
      <c r="I9" s="682"/>
      <c r="J9" s="30">
        <f>$D$9*I7*$D$7</f>
        <v>159.6</v>
      </c>
      <c r="K9" s="682"/>
      <c r="L9" s="30">
        <f>$D$9*K7*$D$7</f>
        <v>319.2</v>
      </c>
      <c r="M9" s="682"/>
      <c r="N9" s="30">
        <f>$D$9*M7*$D$7</f>
        <v>957.60000000000014</v>
      </c>
    </row>
    <row r="10" spans="2:14" ht="15.75" thickBot="1" x14ac:dyDescent="0.3">
      <c r="B10" s="31"/>
      <c r="C10" s="17" t="s">
        <v>88</v>
      </c>
      <c r="D10" s="15">
        <v>0.02</v>
      </c>
      <c r="E10" s="683"/>
      <c r="F10" s="33">
        <f>$D$10*E7*$D$7</f>
        <v>3192</v>
      </c>
      <c r="G10" s="683"/>
      <c r="H10" s="30">
        <f>$D$10*G7*$D$7</f>
        <v>3192</v>
      </c>
      <c r="I10" s="683"/>
      <c r="J10" s="33">
        <f>$D$10*I7*$D$7</f>
        <v>3192</v>
      </c>
      <c r="K10" s="683"/>
      <c r="L10" s="33">
        <f>$D$10*K7*$D$7</f>
        <v>6384</v>
      </c>
      <c r="M10" s="683"/>
      <c r="N10" s="30">
        <f>$D$10*M7*$D$7</f>
        <v>19152</v>
      </c>
    </row>
    <row r="11" spans="2:14" ht="30" thickTop="1" thickBot="1" x14ac:dyDescent="0.35">
      <c r="B11" s="31" t="s">
        <v>90</v>
      </c>
      <c r="C11" s="32" t="s">
        <v>89</v>
      </c>
      <c r="D11" s="30">
        <f>'TABLA GENERAL FASE 1 Y 2'!H56</f>
        <v>52896</v>
      </c>
      <c r="E11" s="15">
        <f>'TABLA GENERAL FASE 1 Y 2'!J56</f>
        <v>0</v>
      </c>
      <c r="F11" s="30">
        <v>0</v>
      </c>
      <c r="G11" s="15">
        <f>'TABLA GENERAL FASE 1 Y 2'!L56</f>
        <v>0</v>
      </c>
      <c r="H11" s="30">
        <v>105792</v>
      </c>
      <c r="I11" s="15">
        <f>'TABLA GENERAL FASE 1 Y 2'!N56</f>
        <v>0</v>
      </c>
      <c r="J11" s="30">
        <v>317376</v>
      </c>
      <c r="K11" s="15">
        <f>'TABLA GENERAL FASE 1 Y 2'!P56</f>
        <v>0</v>
      </c>
      <c r="L11" s="30">
        <v>211584</v>
      </c>
      <c r="M11" s="18">
        <v>12</v>
      </c>
      <c r="N11" s="30">
        <v>634752</v>
      </c>
    </row>
    <row r="12" spans="2:14" ht="26.25" thickTop="1" thickBot="1" x14ac:dyDescent="0.3">
      <c r="B12" s="31"/>
      <c r="C12" s="23" t="s">
        <v>62</v>
      </c>
      <c r="D12" s="15">
        <v>1E-3</v>
      </c>
      <c r="E12" s="681"/>
      <c r="F12" s="30">
        <f>$D$12*E11*$D$11</f>
        <v>0</v>
      </c>
      <c r="G12" s="681"/>
      <c r="H12" s="30">
        <f>$D$12*G11*$D$11</f>
        <v>0</v>
      </c>
      <c r="I12" s="681"/>
      <c r="J12" s="30">
        <f>$D$12*I11*$D$11</f>
        <v>0</v>
      </c>
      <c r="K12" s="681"/>
      <c r="L12" s="30">
        <f>$D$12*K11*$D$11</f>
        <v>0</v>
      </c>
      <c r="M12" s="681"/>
      <c r="N12" s="29">
        <f>$D$12*M11*$D$11</f>
        <v>634.75200000000007</v>
      </c>
    </row>
    <row r="13" spans="2:14" ht="15.75" thickBot="1" x14ac:dyDescent="0.3">
      <c r="B13" s="31"/>
      <c r="C13" s="17" t="s">
        <v>60</v>
      </c>
      <c r="D13" s="15">
        <v>1E-3</v>
      </c>
      <c r="E13" s="682"/>
      <c r="F13" s="30">
        <f>$D$13*E11*$D$11</f>
        <v>0</v>
      </c>
      <c r="G13" s="682"/>
      <c r="H13" s="30">
        <f>$D$13*G11*$D$11</f>
        <v>0</v>
      </c>
      <c r="I13" s="682"/>
      <c r="J13" s="30">
        <f>$D$13*I11*$D$11</f>
        <v>0</v>
      </c>
      <c r="K13" s="682"/>
      <c r="L13" s="30">
        <f>$D$13*K11*$D$11</f>
        <v>0</v>
      </c>
      <c r="M13" s="682"/>
      <c r="N13" s="29">
        <f>$D$13*M11*$D$11</f>
        <v>634.75200000000007</v>
      </c>
    </row>
    <row r="14" spans="2:14" x14ac:dyDescent="0.25">
      <c r="B14" s="31"/>
      <c r="C14" s="17" t="s">
        <v>88</v>
      </c>
      <c r="D14" s="15">
        <v>0.02</v>
      </c>
      <c r="E14" s="683"/>
      <c r="F14" s="30">
        <f>$D$14*E11*$D$11</f>
        <v>0</v>
      </c>
      <c r="G14" s="683"/>
      <c r="H14" s="30">
        <f>$D$14*G11*$D$11</f>
        <v>0</v>
      </c>
      <c r="I14" s="683"/>
      <c r="J14" s="30">
        <f>$D$14*I11*$D$11</f>
        <v>0</v>
      </c>
      <c r="K14" s="683"/>
      <c r="L14" s="30">
        <f>$D$14*K11*$D$11</f>
        <v>0</v>
      </c>
      <c r="M14" s="683"/>
      <c r="N14" s="29">
        <f>$D$14*M11*$D$11</f>
        <v>12695.039999999999</v>
      </c>
    </row>
    <row r="15" spans="2:14" ht="14.45" x14ac:dyDescent="0.3">
      <c r="D15" s="28">
        <v>2021</v>
      </c>
      <c r="E15">
        <v>1</v>
      </c>
      <c r="F15" s="27">
        <f>F13+F12+F9+F8+F5+F4</f>
        <v>366.52000000000004</v>
      </c>
      <c r="G15">
        <v>2022</v>
      </c>
      <c r="H15" s="27">
        <f>H13+H12+H9+H8+H5+H4</f>
        <v>359.76</v>
      </c>
      <c r="I15">
        <v>2023</v>
      </c>
      <c r="J15" s="27">
        <f>J13+J12+J9+J8+J5+J4</f>
        <v>359.76</v>
      </c>
      <c r="K15">
        <v>2025</v>
      </c>
      <c r="L15" s="27">
        <f>L13+L12+L9+L8+L5+L4</f>
        <v>672.19999999999993</v>
      </c>
      <c r="N15" s="27">
        <f>N13+N12+N9+N8+N5+N4</f>
        <v>3346.9440000000004</v>
      </c>
    </row>
    <row r="16" spans="2:14" ht="14.45" x14ac:dyDescent="0.3">
      <c r="E16">
        <v>2</v>
      </c>
      <c r="F16" s="27">
        <f>F14+F10+F6</f>
        <v>3901.8</v>
      </c>
      <c r="H16" s="27">
        <f>H14+H10+H6</f>
        <v>3800.4</v>
      </c>
      <c r="J16" s="27">
        <f>J14+J10+J6</f>
        <v>3800.4</v>
      </c>
      <c r="L16" s="27">
        <f>L14+L10+L6</f>
        <v>6891</v>
      </c>
      <c r="N16" s="27">
        <f>N14+N10+N6</f>
        <v>34280.639999999999</v>
      </c>
    </row>
    <row r="19" spans="2:27" ht="14.45" x14ac:dyDescent="0.3">
      <c r="C19" s="221">
        <v>2021</v>
      </c>
      <c r="D19" s="221">
        <v>2022</v>
      </c>
      <c r="E19" s="221">
        <v>2023</v>
      </c>
      <c r="F19" s="221">
        <v>2024</v>
      </c>
      <c r="G19" s="221">
        <v>2025</v>
      </c>
      <c r="H19" s="221">
        <v>2026</v>
      </c>
      <c r="I19" s="221">
        <v>2027</v>
      </c>
      <c r="J19" s="221">
        <v>2028</v>
      </c>
      <c r="K19" s="221">
        <v>2029</v>
      </c>
      <c r="L19" s="221">
        <v>2030</v>
      </c>
      <c r="M19" s="221">
        <v>2031</v>
      </c>
      <c r="N19" s="221">
        <v>2032</v>
      </c>
      <c r="O19" s="221">
        <v>2033</v>
      </c>
      <c r="P19" s="221">
        <v>2034</v>
      </c>
      <c r="Q19" s="221">
        <v>2035</v>
      </c>
      <c r="R19" s="221">
        <v>2036</v>
      </c>
      <c r="S19" s="221">
        <v>2037</v>
      </c>
      <c r="T19" s="221">
        <v>2038</v>
      </c>
      <c r="U19" s="221">
        <v>2039</v>
      </c>
      <c r="V19" s="221">
        <v>2040</v>
      </c>
      <c r="W19" s="221">
        <v>2041</v>
      </c>
      <c r="X19" s="221">
        <v>2042</v>
      </c>
      <c r="Y19" s="221">
        <v>2043</v>
      </c>
      <c r="Z19" s="221">
        <v>2044</v>
      </c>
      <c r="AA19" s="221">
        <v>2045</v>
      </c>
    </row>
    <row r="20" spans="2:27" x14ac:dyDescent="0.25">
      <c r="B20" s="7" t="s">
        <v>41</v>
      </c>
      <c r="C20" s="221" t="s">
        <v>59</v>
      </c>
      <c r="D20" s="221" t="s">
        <v>40</v>
      </c>
      <c r="E20" s="221" t="s">
        <v>39</v>
      </c>
      <c r="F20" s="221" t="s">
        <v>38</v>
      </c>
      <c r="G20" s="221" t="s">
        <v>58</v>
      </c>
      <c r="H20" s="221" t="s">
        <v>36</v>
      </c>
      <c r="I20" s="221" t="s">
        <v>35</v>
      </c>
      <c r="J20" s="221" t="s">
        <v>34</v>
      </c>
      <c r="K20" s="221" t="s">
        <v>33</v>
      </c>
      <c r="L20" s="221" t="s">
        <v>32</v>
      </c>
      <c r="M20" s="221" t="s">
        <v>31</v>
      </c>
      <c r="N20" s="221" t="s">
        <v>30</v>
      </c>
      <c r="O20" s="221" t="s">
        <v>57</v>
      </c>
      <c r="P20" s="221" t="s">
        <v>56</v>
      </c>
      <c r="Q20" s="221" t="s">
        <v>27</v>
      </c>
      <c r="R20" s="221" t="s">
        <v>55</v>
      </c>
      <c r="S20" s="221" t="s">
        <v>54</v>
      </c>
      <c r="T20" s="221" t="s">
        <v>24</v>
      </c>
      <c r="U20" s="221" t="s">
        <v>23</v>
      </c>
      <c r="V20" s="221" t="s">
        <v>53</v>
      </c>
      <c r="W20" s="221" t="s">
        <v>21</v>
      </c>
      <c r="X20" s="221" t="s">
        <v>52</v>
      </c>
      <c r="Y20" s="221" t="s">
        <v>51</v>
      </c>
      <c r="Z20" s="221" t="s">
        <v>50</v>
      </c>
      <c r="AA20" s="221" t="s">
        <v>49</v>
      </c>
    </row>
    <row r="21" spans="2:27" ht="43.15" x14ac:dyDescent="0.3">
      <c r="B21" s="13" t="s">
        <v>87</v>
      </c>
      <c r="C21" s="6"/>
      <c r="D21" s="26">
        <f>$F$15</f>
        <v>366.52000000000004</v>
      </c>
      <c r="E21" s="26">
        <f>$F$15+$H$15</f>
        <v>726.28</v>
      </c>
      <c r="F21" s="26">
        <f>$F$15+$H$15+$J$15</f>
        <v>1086.04</v>
      </c>
      <c r="G21" s="26">
        <f>$F$15+$H$15+$J$15</f>
        <v>1086.04</v>
      </c>
      <c r="H21" s="26">
        <f t="shared" ref="H21:AA21" si="0">$F$15+$H$15+$J$15+$L$15</f>
        <v>1758.2399999999998</v>
      </c>
      <c r="I21" s="26">
        <f t="shared" si="0"/>
        <v>1758.2399999999998</v>
      </c>
      <c r="J21" s="26">
        <f t="shared" si="0"/>
        <v>1758.2399999999998</v>
      </c>
      <c r="K21" s="26">
        <f t="shared" si="0"/>
        <v>1758.2399999999998</v>
      </c>
      <c r="L21" s="26">
        <f t="shared" si="0"/>
        <v>1758.2399999999998</v>
      </c>
      <c r="M21" s="26">
        <f t="shared" si="0"/>
        <v>1758.2399999999998</v>
      </c>
      <c r="N21" s="26">
        <f t="shared" si="0"/>
        <v>1758.2399999999998</v>
      </c>
      <c r="O21" s="26">
        <f t="shared" si="0"/>
        <v>1758.2399999999998</v>
      </c>
      <c r="P21" s="26">
        <f t="shared" si="0"/>
        <v>1758.2399999999998</v>
      </c>
      <c r="Q21" s="26">
        <f t="shared" si="0"/>
        <v>1758.2399999999998</v>
      </c>
      <c r="R21" s="26">
        <f t="shared" si="0"/>
        <v>1758.2399999999998</v>
      </c>
      <c r="S21" s="26">
        <f t="shared" si="0"/>
        <v>1758.2399999999998</v>
      </c>
      <c r="T21" s="26">
        <f t="shared" si="0"/>
        <v>1758.2399999999998</v>
      </c>
      <c r="U21" s="26">
        <f t="shared" si="0"/>
        <v>1758.2399999999998</v>
      </c>
      <c r="V21" s="26">
        <f t="shared" si="0"/>
        <v>1758.2399999999998</v>
      </c>
      <c r="W21" s="26">
        <f t="shared" si="0"/>
        <v>1758.2399999999998</v>
      </c>
      <c r="X21" s="26">
        <f t="shared" si="0"/>
        <v>1758.2399999999998</v>
      </c>
      <c r="Y21" s="26">
        <f t="shared" si="0"/>
        <v>1758.2399999999998</v>
      </c>
      <c r="Z21" s="26">
        <f t="shared" si="0"/>
        <v>1758.2399999999998</v>
      </c>
      <c r="AA21" s="26">
        <f t="shared" si="0"/>
        <v>1758.2399999999998</v>
      </c>
    </row>
    <row r="22" spans="2:27" ht="60" x14ac:dyDescent="0.25">
      <c r="B22" s="5" t="s">
        <v>86</v>
      </c>
      <c r="C22" s="3"/>
      <c r="D22" s="3"/>
      <c r="E22" s="3"/>
      <c r="F22" s="3"/>
      <c r="G22" s="3"/>
      <c r="H22" s="3">
        <f>$F$16</f>
        <v>3901.8</v>
      </c>
      <c r="I22" s="3">
        <f>$H$16</f>
        <v>3800.4</v>
      </c>
      <c r="J22" s="3">
        <f>$J$16</f>
        <v>3800.4</v>
      </c>
      <c r="K22" s="3"/>
      <c r="L22" s="3">
        <f>$L$16</f>
        <v>6891</v>
      </c>
      <c r="M22" s="3">
        <f>$H$22</f>
        <v>3901.8</v>
      </c>
      <c r="N22" s="3">
        <f>$I$22</f>
        <v>3800.4</v>
      </c>
      <c r="O22" s="3">
        <f>$J$22</f>
        <v>3800.4</v>
      </c>
      <c r="P22" s="3"/>
      <c r="Q22" s="3">
        <f>$L$16</f>
        <v>6891</v>
      </c>
      <c r="R22" s="3">
        <f>$M$22</f>
        <v>3901.8</v>
      </c>
      <c r="S22" s="3">
        <f>$N$22</f>
        <v>3800.4</v>
      </c>
      <c r="T22" s="3">
        <f>$O$22</f>
        <v>3800.4</v>
      </c>
      <c r="U22" s="3"/>
      <c r="V22" s="3">
        <f>$L$16</f>
        <v>6891</v>
      </c>
      <c r="W22" s="3">
        <f>$R$22</f>
        <v>3901.8</v>
      </c>
      <c r="X22" s="3">
        <f>$S$22</f>
        <v>3800.4</v>
      </c>
      <c r="Y22" s="3">
        <f>$T$22</f>
        <v>3800.4</v>
      </c>
      <c r="Z22" s="3"/>
      <c r="AA22" s="3">
        <f>$L$16</f>
        <v>6891</v>
      </c>
    </row>
    <row r="23" spans="2:27" ht="14.45" x14ac:dyDescent="0.3">
      <c r="B23" s="5" t="s">
        <v>46</v>
      </c>
      <c r="C23" s="3">
        <f t="shared" ref="C23:AA23" si="1">SUM(C21:C22)</f>
        <v>0</v>
      </c>
      <c r="D23" s="3">
        <f t="shared" si="1"/>
        <v>366.52000000000004</v>
      </c>
      <c r="E23" s="3">
        <f t="shared" si="1"/>
        <v>726.28</v>
      </c>
      <c r="F23" s="3">
        <f t="shared" si="1"/>
        <v>1086.04</v>
      </c>
      <c r="G23" s="3">
        <f t="shared" si="1"/>
        <v>1086.04</v>
      </c>
      <c r="H23" s="3">
        <f t="shared" si="1"/>
        <v>5660.04</v>
      </c>
      <c r="I23" s="3">
        <f t="shared" si="1"/>
        <v>5558.6399999999994</v>
      </c>
      <c r="J23" s="3">
        <f t="shared" si="1"/>
        <v>5558.6399999999994</v>
      </c>
      <c r="K23" s="3">
        <f t="shared" si="1"/>
        <v>1758.2399999999998</v>
      </c>
      <c r="L23" s="3">
        <f t="shared" si="1"/>
        <v>8649.24</v>
      </c>
      <c r="M23" s="3">
        <f t="shared" si="1"/>
        <v>5660.04</v>
      </c>
      <c r="N23" s="3">
        <f t="shared" si="1"/>
        <v>5558.6399999999994</v>
      </c>
      <c r="O23" s="3">
        <f t="shared" si="1"/>
        <v>5558.6399999999994</v>
      </c>
      <c r="P23" s="3">
        <f t="shared" si="1"/>
        <v>1758.2399999999998</v>
      </c>
      <c r="Q23" s="3">
        <f t="shared" si="1"/>
        <v>8649.24</v>
      </c>
      <c r="R23" s="3">
        <f t="shared" si="1"/>
        <v>5660.04</v>
      </c>
      <c r="S23" s="3">
        <f t="shared" si="1"/>
        <v>5558.6399999999994</v>
      </c>
      <c r="T23" s="3">
        <f t="shared" si="1"/>
        <v>5558.6399999999994</v>
      </c>
      <c r="U23" s="3">
        <f t="shared" si="1"/>
        <v>1758.2399999999998</v>
      </c>
      <c r="V23" s="3">
        <f t="shared" si="1"/>
        <v>8649.24</v>
      </c>
      <c r="W23" s="3">
        <f t="shared" si="1"/>
        <v>5660.04</v>
      </c>
      <c r="X23" s="3">
        <f t="shared" si="1"/>
        <v>5558.6399999999994</v>
      </c>
      <c r="Y23" s="3">
        <f t="shared" si="1"/>
        <v>5558.6399999999994</v>
      </c>
      <c r="Z23" s="3">
        <f t="shared" si="1"/>
        <v>1758.2399999999998</v>
      </c>
      <c r="AA23" s="3">
        <f t="shared" si="1"/>
        <v>8649.24</v>
      </c>
    </row>
    <row r="24" spans="2:27" thickBot="1" x14ac:dyDescent="0.35"/>
    <row r="25" spans="2:27" ht="66.75" thickBot="1" x14ac:dyDescent="0.3">
      <c r="B25" s="24"/>
      <c r="C25" s="24" t="s">
        <v>85</v>
      </c>
      <c r="D25" s="25" t="s">
        <v>84</v>
      </c>
      <c r="E25" s="24" t="s">
        <v>83</v>
      </c>
      <c r="F25" s="24" t="s">
        <v>79</v>
      </c>
      <c r="G25" s="24" t="s">
        <v>82</v>
      </c>
      <c r="H25" s="24" t="s">
        <v>79</v>
      </c>
      <c r="I25" s="24" t="s">
        <v>81</v>
      </c>
      <c r="J25" s="24" t="s">
        <v>79</v>
      </c>
      <c r="K25" s="24" t="s">
        <v>80</v>
      </c>
      <c r="L25" s="24" t="s">
        <v>79</v>
      </c>
      <c r="M25" s="24" t="s">
        <v>78</v>
      </c>
      <c r="N25" s="24" t="s">
        <v>77</v>
      </c>
    </row>
    <row r="26" spans="2:27" ht="31.5" thickTop="1" thickBot="1" x14ac:dyDescent="0.3">
      <c r="B26" s="15" t="s">
        <v>76</v>
      </c>
      <c r="C26" s="21" t="s">
        <v>75</v>
      </c>
      <c r="D26" s="12">
        <f>'TABLA GENERAL FASE 1 Y 2'!H104</f>
        <v>15700</v>
      </c>
      <c r="E26" s="20">
        <f>'TABLA GENERAL FASE 1 Y 2'!J104</f>
        <v>0</v>
      </c>
      <c r="F26" s="12">
        <v>0</v>
      </c>
      <c r="G26" s="20">
        <f>'TABLA GENERAL FASE 1 Y 2'!L104</f>
        <v>0</v>
      </c>
      <c r="H26" s="12">
        <v>0</v>
      </c>
      <c r="I26" s="19">
        <f>'TABLA GENERAL FASE 1 Y 2'!N104</f>
        <v>1</v>
      </c>
      <c r="J26" s="12">
        <v>22179</v>
      </c>
      <c r="K26" s="19">
        <f>'TABLA GENERAL FASE 1 Y 2'!P104</f>
        <v>3</v>
      </c>
      <c r="L26" s="12">
        <v>66537</v>
      </c>
      <c r="M26" s="18">
        <v>4</v>
      </c>
      <c r="N26" s="12">
        <v>88716</v>
      </c>
    </row>
    <row r="27" spans="2:27" ht="25.5" thickTop="1" x14ac:dyDescent="0.25">
      <c r="B27" s="15" t="s">
        <v>63</v>
      </c>
      <c r="C27" s="23" t="s">
        <v>62</v>
      </c>
      <c r="D27" s="15">
        <v>5.0000000000000001E-3</v>
      </c>
      <c r="E27" s="681"/>
      <c r="F27" s="12"/>
      <c r="G27" s="681"/>
      <c r="H27" s="12"/>
      <c r="I27" s="681"/>
      <c r="J27" s="12">
        <f>$D$27*$D$26*I26</f>
        <v>78.5</v>
      </c>
      <c r="K27" s="681"/>
      <c r="L27" s="12">
        <f>$D$27*$D$26*K26</f>
        <v>235.5</v>
      </c>
      <c r="M27" s="681"/>
      <c r="N27" s="12"/>
    </row>
    <row r="28" spans="2:27" x14ac:dyDescent="0.25">
      <c r="B28" s="15" t="s">
        <v>61</v>
      </c>
      <c r="C28" s="17" t="s">
        <v>60</v>
      </c>
      <c r="D28" s="15">
        <v>0.01</v>
      </c>
      <c r="E28" s="682"/>
      <c r="F28" s="12"/>
      <c r="G28" s="682"/>
      <c r="H28" s="12"/>
      <c r="I28" s="682"/>
      <c r="J28" s="12">
        <f>$D$28*$D$26*I26</f>
        <v>157</v>
      </c>
      <c r="K28" s="682"/>
      <c r="L28" s="12">
        <f>$D$28*$D$26*K26</f>
        <v>471</v>
      </c>
      <c r="M28" s="682"/>
      <c r="N28" s="12"/>
    </row>
    <row r="29" spans="2:27" ht="15.75" thickBot="1" x14ac:dyDescent="0.3">
      <c r="B29" s="15" t="s">
        <v>67</v>
      </c>
      <c r="C29" s="16" t="s">
        <v>70</v>
      </c>
      <c r="D29" s="15">
        <v>0.02</v>
      </c>
      <c r="E29" s="683"/>
      <c r="F29" s="12"/>
      <c r="G29" s="683"/>
      <c r="H29" s="12"/>
      <c r="I29" s="683"/>
      <c r="J29" s="12">
        <f>$D$29*$D$26*I26</f>
        <v>314</v>
      </c>
      <c r="K29" s="683"/>
      <c r="L29" s="12">
        <f>$D$29*$D$26*K26</f>
        <v>942</v>
      </c>
      <c r="M29" s="683"/>
      <c r="N29" s="12"/>
    </row>
    <row r="30" spans="2:27" ht="31.5" thickTop="1" thickBot="1" x14ac:dyDescent="0.3">
      <c r="B30" s="15" t="s">
        <v>74</v>
      </c>
      <c r="C30" s="21" t="s">
        <v>73</v>
      </c>
      <c r="D30" s="12">
        <f>'TABLA GENERAL FASE 1 Y 2'!H105</f>
        <v>45800</v>
      </c>
      <c r="E30" s="20">
        <f>'TABLA GENERAL FASE 1 Y 2'!J105</f>
        <v>0</v>
      </c>
      <c r="F30" s="12">
        <v>0</v>
      </c>
      <c r="G30" s="20">
        <f>'TABLA GENERAL FASE 1 Y 2'!L105</f>
        <v>0</v>
      </c>
      <c r="H30" s="12">
        <v>0</v>
      </c>
      <c r="I30" s="19">
        <f>'TABLA GENERAL FASE 1 Y 2'!N105</f>
        <v>1</v>
      </c>
      <c r="J30" s="12">
        <v>30419</v>
      </c>
      <c r="K30" s="19">
        <f>'TABLA GENERAL FASE 1 Y 2'!P105</f>
        <v>1</v>
      </c>
      <c r="L30" s="12">
        <v>30419</v>
      </c>
      <c r="M30" s="18">
        <v>2</v>
      </c>
      <c r="N30" s="12">
        <v>60838</v>
      </c>
    </row>
    <row r="31" spans="2:27" ht="25.5" thickTop="1" x14ac:dyDescent="0.25">
      <c r="B31" s="15" t="s">
        <v>63</v>
      </c>
      <c r="C31" s="23" t="s">
        <v>62</v>
      </c>
      <c r="D31" s="15">
        <v>5.0000000000000001E-3</v>
      </c>
      <c r="E31" s="681"/>
      <c r="F31" s="12"/>
      <c r="G31" s="681"/>
      <c r="H31" s="12"/>
      <c r="I31" s="681"/>
      <c r="J31" s="12">
        <f>$D$31*$D$30*I30</f>
        <v>229</v>
      </c>
      <c r="K31" s="681"/>
      <c r="L31" s="12">
        <f>$D$31*$D$30*K30</f>
        <v>229</v>
      </c>
      <c r="M31" s="681"/>
      <c r="N31" s="12"/>
    </row>
    <row r="32" spans="2:27" x14ac:dyDescent="0.25">
      <c r="B32" s="15" t="s">
        <v>61</v>
      </c>
      <c r="C32" s="17" t="s">
        <v>60</v>
      </c>
      <c r="D32" s="15">
        <v>0.01</v>
      </c>
      <c r="E32" s="682"/>
      <c r="F32" s="12"/>
      <c r="G32" s="682"/>
      <c r="H32" s="12"/>
      <c r="I32" s="682"/>
      <c r="J32" s="12">
        <f>$D$32*$D$30*I30</f>
        <v>458</v>
      </c>
      <c r="K32" s="682"/>
      <c r="L32" s="12">
        <f>$D$32*$D$30*K30</f>
        <v>458</v>
      </c>
      <c r="M32" s="682"/>
      <c r="N32" s="12"/>
    </row>
    <row r="33" spans="2:14" ht="15.75" thickBot="1" x14ac:dyDescent="0.3">
      <c r="B33" s="15" t="s">
        <v>67</v>
      </c>
      <c r="C33" s="16" t="s">
        <v>70</v>
      </c>
      <c r="D33" s="15">
        <v>0.02</v>
      </c>
      <c r="E33" s="683"/>
      <c r="F33" s="12"/>
      <c r="G33" s="683"/>
      <c r="H33" s="12"/>
      <c r="I33" s="683"/>
      <c r="J33" s="12">
        <f>$D$33*$D$30*I30</f>
        <v>916</v>
      </c>
      <c r="K33" s="683"/>
      <c r="L33" s="12">
        <f>$E$31*$D$30*K30</f>
        <v>0</v>
      </c>
      <c r="M33" s="683"/>
      <c r="N33" s="12"/>
    </row>
    <row r="34" spans="2:14" ht="16.5" thickTop="1" thickBot="1" x14ac:dyDescent="0.3">
      <c r="B34" s="15" t="s">
        <v>72</v>
      </c>
      <c r="C34" s="21" t="s">
        <v>71</v>
      </c>
      <c r="D34" s="12">
        <f>'TABLA GENERAL FASE 1 Y 2'!H106</f>
        <v>4090</v>
      </c>
      <c r="E34" s="20">
        <f>'TABLA GENERAL FASE 1 Y 2'!J106</f>
        <v>0</v>
      </c>
      <c r="F34" s="12">
        <v>0</v>
      </c>
      <c r="G34" s="20">
        <f>'TABLA GENERAL FASE 1 Y 2'!L106</f>
        <v>0</v>
      </c>
      <c r="H34" s="12">
        <v>0</v>
      </c>
      <c r="I34" s="19">
        <f>'TABLA GENERAL FASE 1 Y 2'!N106</f>
        <v>9</v>
      </c>
      <c r="J34" s="12">
        <v>26262</v>
      </c>
      <c r="K34" s="19">
        <f>'TABLA GENERAL FASE 1 Y 2'!P106</f>
        <v>10</v>
      </c>
      <c r="L34" s="12">
        <v>29180</v>
      </c>
      <c r="M34" s="18">
        <v>19</v>
      </c>
      <c r="N34" s="12">
        <v>55442</v>
      </c>
    </row>
    <row r="35" spans="2:14" ht="25.5" thickTop="1" x14ac:dyDescent="0.25">
      <c r="B35" s="15" t="s">
        <v>63</v>
      </c>
      <c r="C35" s="23" t="s">
        <v>62</v>
      </c>
      <c r="D35" s="15">
        <v>5.0000000000000001E-3</v>
      </c>
      <c r="E35" s="681"/>
      <c r="F35" s="12"/>
      <c r="G35" s="681"/>
      <c r="H35" s="12"/>
      <c r="I35" s="681"/>
      <c r="J35" s="12">
        <f>$D$35*$D$34*I34</f>
        <v>184.04999999999998</v>
      </c>
      <c r="K35" s="681"/>
      <c r="L35" s="12">
        <f>$D$35*$D$34*K34</f>
        <v>204.5</v>
      </c>
      <c r="M35" s="681"/>
      <c r="N35" s="12"/>
    </row>
    <row r="36" spans="2:14" x14ac:dyDescent="0.25">
      <c r="B36" s="15" t="s">
        <v>61</v>
      </c>
      <c r="C36" s="17" t="s">
        <v>60</v>
      </c>
      <c r="D36" s="15">
        <v>0.01</v>
      </c>
      <c r="E36" s="682"/>
      <c r="F36" s="12"/>
      <c r="G36" s="682"/>
      <c r="H36" s="12"/>
      <c r="I36" s="682"/>
      <c r="J36" s="12">
        <f>$D$36*$D$34*I34</f>
        <v>368.09999999999997</v>
      </c>
      <c r="K36" s="682"/>
      <c r="L36" s="12">
        <f>$D$36*$D$34*K34</f>
        <v>409</v>
      </c>
      <c r="M36" s="682"/>
      <c r="N36" s="12"/>
    </row>
    <row r="37" spans="2:14" ht="15.75" thickBot="1" x14ac:dyDescent="0.3">
      <c r="B37" s="15" t="s">
        <v>67</v>
      </c>
      <c r="C37" s="16" t="s">
        <v>70</v>
      </c>
      <c r="D37" s="15">
        <v>0.02</v>
      </c>
      <c r="E37" s="683"/>
      <c r="F37" s="12"/>
      <c r="G37" s="683"/>
      <c r="H37" s="12"/>
      <c r="I37" s="683"/>
      <c r="J37" s="12">
        <f>$D$37*$D$34*I34</f>
        <v>736.19999999999993</v>
      </c>
      <c r="K37" s="683"/>
      <c r="L37" s="12">
        <f>$D$37*$D$34*K34</f>
        <v>818</v>
      </c>
      <c r="M37" s="683"/>
      <c r="N37" s="12"/>
    </row>
    <row r="38" spans="2:14" ht="31.5" thickTop="1" thickBot="1" x14ac:dyDescent="0.3">
      <c r="B38" s="15" t="s">
        <v>69</v>
      </c>
      <c r="C38" s="21" t="s">
        <v>68</v>
      </c>
      <c r="D38" s="12">
        <f>'TABLA GENERAL FASE 1 Y 2'!H119</f>
        <v>3800</v>
      </c>
      <c r="E38" s="20">
        <f>'TABLA GENERAL FASE 1 Y 2'!J119</f>
        <v>0</v>
      </c>
      <c r="F38" s="12">
        <v>0</v>
      </c>
      <c r="G38" s="20">
        <f>'TABLA GENERAL FASE 1 Y 2'!L119</f>
        <v>14</v>
      </c>
      <c r="H38" s="12">
        <v>31080</v>
      </c>
      <c r="I38" s="19">
        <f>'TABLA GENERAL FASE 1 Y 2'!N119</f>
        <v>28</v>
      </c>
      <c r="J38" s="12">
        <v>62160</v>
      </c>
      <c r="K38" s="19">
        <f>'TABLA GENERAL FASE 1 Y 2'!P119</f>
        <v>14</v>
      </c>
      <c r="L38" s="12">
        <v>31080</v>
      </c>
      <c r="M38" s="18">
        <v>56</v>
      </c>
      <c r="N38" s="12">
        <v>124320</v>
      </c>
    </row>
    <row r="39" spans="2:14" ht="25.5" thickTop="1" x14ac:dyDescent="0.25">
      <c r="B39" s="15" t="s">
        <v>63</v>
      </c>
      <c r="C39" s="23" t="s">
        <v>62</v>
      </c>
      <c r="D39" s="15">
        <v>5.0000000000000001E-3</v>
      </c>
      <c r="E39" s="681"/>
      <c r="F39" s="12"/>
      <c r="G39" s="681"/>
      <c r="H39" s="12">
        <f>$D$39*$D$38*G38</f>
        <v>266</v>
      </c>
      <c r="I39" s="681"/>
      <c r="J39" s="12">
        <f>$D$39*$D$38*I38</f>
        <v>532</v>
      </c>
      <c r="K39" s="681"/>
      <c r="L39" s="12">
        <f>$D$39*$D$38*K38</f>
        <v>266</v>
      </c>
      <c r="M39" s="681"/>
      <c r="N39" s="12"/>
    </row>
    <row r="40" spans="2:14" x14ac:dyDescent="0.25">
      <c r="B40" s="15" t="s">
        <v>61</v>
      </c>
      <c r="C40" s="17" t="s">
        <v>60</v>
      </c>
      <c r="D40" s="15">
        <v>0.01</v>
      </c>
      <c r="E40" s="682"/>
      <c r="F40" s="12"/>
      <c r="G40" s="682"/>
      <c r="H40" s="12">
        <f>$D$40*$D$38*G38</f>
        <v>532</v>
      </c>
      <c r="I40" s="682"/>
      <c r="J40" s="12">
        <f>$D$40*$D$38*I38</f>
        <v>1064</v>
      </c>
      <c r="K40" s="682"/>
      <c r="L40" s="12">
        <f>$D$40*$D$38*K38</f>
        <v>532</v>
      </c>
      <c r="M40" s="682"/>
      <c r="N40" s="12"/>
    </row>
    <row r="41" spans="2:14" ht="15.75" thickBot="1" x14ac:dyDescent="0.3">
      <c r="B41" s="15" t="s">
        <v>67</v>
      </c>
      <c r="C41" s="16" t="s">
        <v>66</v>
      </c>
      <c r="D41" s="15">
        <v>0.02</v>
      </c>
      <c r="E41" s="683"/>
      <c r="F41" s="12"/>
      <c r="G41" s="683"/>
      <c r="H41" s="12">
        <f>$D$41*$D$38*G38</f>
        <v>1064</v>
      </c>
      <c r="I41" s="683"/>
      <c r="J41" s="12">
        <f>$D$41*$D$38*I38</f>
        <v>2128</v>
      </c>
      <c r="K41" s="683"/>
      <c r="L41" s="12">
        <f>$D$41*$D$38*K38</f>
        <v>1064</v>
      </c>
      <c r="M41" s="683"/>
      <c r="N41" s="12"/>
    </row>
    <row r="42" spans="2:14" ht="31.5" thickTop="1" thickBot="1" x14ac:dyDescent="0.3">
      <c r="B42" s="15" t="s">
        <v>65</v>
      </c>
      <c r="C42" s="21" t="s">
        <v>64</v>
      </c>
      <c r="D42" s="12">
        <f>'TABLA GENERAL FASE 1 Y 2'!H131</f>
        <v>3250</v>
      </c>
      <c r="E42" s="20">
        <f>'TABLA GENERAL FASE 1 Y 2'!J131</f>
        <v>0</v>
      </c>
      <c r="F42" s="12">
        <v>0</v>
      </c>
      <c r="G42" s="20">
        <f>'TABLA GENERAL FASE 1 Y 2'!L131</f>
        <v>1</v>
      </c>
      <c r="H42" s="12">
        <v>3250</v>
      </c>
      <c r="I42" s="19">
        <f>'TABLA GENERAL FASE 1 Y 2'!N131</f>
        <v>0</v>
      </c>
      <c r="J42" s="12">
        <v>0</v>
      </c>
      <c r="K42" s="19">
        <f>'TABLA GENERAL FASE 1 Y 2'!P131</f>
        <v>1</v>
      </c>
      <c r="L42" s="12">
        <v>3250</v>
      </c>
      <c r="M42" s="18">
        <v>2</v>
      </c>
      <c r="N42" s="12">
        <v>6500</v>
      </c>
    </row>
    <row r="43" spans="2:14" ht="15.75" thickTop="1" x14ac:dyDescent="0.25">
      <c r="B43" s="15" t="s">
        <v>63</v>
      </c>
      <c r="C43" s="17" t="s">
        <v>62</v>
      </c>
      <c r="D43" s="15">
        <v>0.01</v>
      </c>
      <c r="E43" s="684"/>
      <c r="F43" s="12"/>
      <c r="G43" s="684"/>
      <c r="H43" s="12">
        <f>$D$43*$D$42*G42</f>
        <v>32.5</v>
      </c>
      <c r="I43" s="684"/>
      <c r="J43" s="12"/>
      <c r="K43" s="684"/>
      <c r="L43" s="12">
        <f>$D$43*$D$42*K42</f>
        <v>32.5</v>
      </c>
      <c r="M43" s="684"/>
      <c r="N43" s="12"/>
    </row>
    <row r="44" spans="2:14" x14ac:dyDescent="0.25">
      <c r="B44" s="15" t="s">
        <v>61</v>
      </c>
      <c r="C44" s="16" t="s">
        <v>60</v>
      </c>
      <c r="D44" s="15">
        <v>0.01</v>
      </c>
      <c r="E44" s="685"/>
      <c r="F44" s="12"/>
      <c r="G44" s="685"/>
      <c r="H44" s="12">
        <f>$D$44*$D$42*G42</f>
        <v>32.5</v>
      </c>
      <c r="I44" s="685"/>
      <c r="J44" s="12"/>
      <c r="K44" s="685"/>
      <c r="L44" s="12">
        <f>$D$44*$D$42*K42</f>
        <v>32.5</v>
      </c>
      <c r="M44" s="685"/>
      <c r="N44" s="12"/>
    </row>
    <row r="45" spans="2:14" x14ac:dyDescent="0.25">
      <c r="F45" s="14"/>
      <c r="H45" s="14"/>
      <c r="J45" s="14"/>
      <c r="L45" s="14"/>
    </row>
    <row r="49" spans="2:27" x14ac:dyDescent="0.25">
      <c r="C49" s="221">
        <v>2021</v>
      </c>
      <c r="D49" s="221">
        <v>2022</v>
      </c>
      <c r="E49" s="221">
        <v>2023</v>
      </c>
      <c r="F49" s="221">
        <v>2024</v>
      </c>
      <c r="G49" s="221">
        <v>2025</v>
      </c>
      <c r="H49" s="221">
        <v>2026</v>
      </c>
      <c r="I49" s="221">
        <v>2027</v>
      </c>
      <c r="J49" s="221">
        <v>2028</v>
      </c>
      <c r="K49" s="221">
        <v>2029</v>
      </c>
      <c r="L49" s="221">
        <v>2030</v>
      </c>
      <c r="M49" s="221">
        <v>2031</v>
      </c>
      <c r="N49" s="221">
        <v>2032</v>
      </c>
      <c r="O49" s="221">
        <v>2033</v>
      </c>
      <c r="P49" s="221">
        <v>2034</v>
      </c>
      <c r="Q49" s="221">
        <v>2035</v>
      </c>
      <c r="R49" s="221">
        <v>2036</v>
      </c>
      <c r="S49" s="221">
        <v>2037</v>
      </c>
      <c r="T49" s="221">
        <v>2038</v>
      </c>
      <c r="U49" s="221">
        <v>2039</v>
      </c>
      <c r="V49" s="221">
        <v>2040</v>
      </c>
      <c r="W49" s="221">
        <v>2041</v>
      </c>
      <c r="X49" s="221">
        <v>2042</v>
      </c>
      <c r="Y49" s="221">
        <v>2043</v>
      </c>
      <c r="Z49" s="221">
        <v>2044</v>
      </c>
      <c r="AA49" s="221">
        <v>2045</v>
      </c>
    </row>
    <row r="50" spans="2:27" x14ac:dyDescent="0.25">
      <c r="B50" s="7" t="s">
        <v>41</v>
      </c>
      <c r="C50" s="221" t="s">
        <v>59</v>
      </c>
      <c r="D50" s="221" t="s">
        <v>40</v>
      </c>
      <c r="E50" s="221" t="s">
        <v>39</v>
      </c>
      <c r="F50" s="221" t="s">
        <v>38</v>
      </c>
      <c r="G50" s="221" t="s">
        <v>58</v>
      </c>
      <c r="H50" s="221" t="s">
        <v>36</v>
      </c>
      <c r="I50" s="221" t="s">
        <v>35</v>
      </c>
      <c r="J50" s="221" t="s">
        <v>34</v>
      </c>
      <c r="K50" s="221" t="s">
        <v>33</v>
      </c>
      <c r="L50" s="221" t="s">
        <v>32</v>
      </c>
      <c r="M50" s="221" t="s">
        <v>31</v>
      </c>
      <c r="N50" s="221" t="s">
        <v>30</v>
      </c>
      <c r="O50" s="221" t="s">
        <v>57</v>
      </c>
      <c r="P50" s="221" t="s">
        <v>56</v>
      </c>
      <c r="Q50" s="221" t="s">
        <v>27</v>
      </c>
      <c r="R50" s="221" t="s">
        <v>55</v>
      </c>
      <c r="S50" s="221" t="s">
        <v>54</v>
      </c>
      <c r="T50" s="221" t="s">
        <v>24</v>
      </c>
      <c r="U50" s="221" t="s">
        <v>23</v>
      </c>
      <c r="V50" s="221" t="s">
        <v>53</v>
      </c>
      <c r="W50" s="221" t="s">
        <v>21</v>
      </c>
      <c r="X50" s="221" t="s">
        <v>52</v>
      </c>
      <c r="Y50" s="221" t="s">
        <v>51</v>
      </c>
      <c r="Z50" s="221" t="s">
        <v>50</v>
      </c>
      <c r="AA50" s="221" t="s">
        <v>49</v>
      </c>
    </row>
    <row r="51" spans="2:27" ht="30" x14ac:dyDescent="0.25">
      <c r="B51" s="13" t="s">
        <v>48</v>
      </c>
      <c r="C51" s="6"/>
      <c r="D51" s="6"/>
      <c r="E51" s="6"/>
      <c r="F51" s="6"/>
      <c r="G51" s="6"/>
      <c r="H51" s="6"/>
      <c r="I51" s="11"/>
      <c r="J51" s="11">
        <f>$J$29+$J$41+$J$37+$J$33</f>
        <v>4094.2</v>
      </c>
      <c r="K51" s="6"/>
      <c r="L51" s="12">
        <f>L29+H41+L33+L37</f>
        <v>2824</v>
      </c>
      <c r="M51" s="11">
        <f>J41</f>
        <v>2128</v>
      </c>
      <c r="N51" s="6"/>
      <c r="O51" s="11">
        <f>J51</f>
        <v>4094.2</v>
      </c>
      <c r="P51" s="6"/>
      <c r="Q51" s="11">
        <f>L51</f>
        <v>2824</v>
      </c>
      <c r="R51" s="6"/>
      <c r="S51" s="6"/>
      <c r="T51" s="11">
        <f>J51+H41</f>
        <v>5158.2</v>
      </c>
      <c r="U51" s="11">
        <f>J41</f>
        <v>2128</v>
      </c>
      <c r="V51" s="11">
        <f>Q51</f>
        <v>2824</v>
      </c>
      <c r="W51" s="6"/>
      <c r="X51" s="6"/>
      <c r="Y51" s="11">
        <f>J51</f>
        <v>4094.2</v>
      </c>
      <c r="Z51" s="6"/>
      <c r="AA51" s="11">
        <f>V51</f>
        <v>2824</v>
      </c>
    </row>
    <row r="52" spans="2:27" ht="30" x14ac:dyDescent="0.25">
      <c r="B52" s="5" t="s">
        <v>47</v>
      </c>
      <c r="C52" s="3">
        <f>(F31+F32)</f>
        <v>0</v>
      </c>
      <c r="D52" s="3">
        <v>0</v>
      </c>
      <c r="E52" s="3">
        <f>H39+H40+H43+H44</f>
        <v>863</v>
      </c>
      <c r="F52" s="3">
        <f>J27+J28+J31+J32+J35+J36+J39+J40+E52</f>
        <v>3933.6499999999996</v>
      </c>
      <c r="G52" s="3">
        <f>F52+E52</f>
        <v>4796.6499999999996</v>
      </c>
      <c r="H52" s="3">
        <f>L27+L28+L31+L32+L35+L36+L39+L40+L43+L44</f>
        <v>2870</v>
      </c>
      <c r="I52" s="3">
        <f t="shared" ref="I52:AA52" si="2">$H$52+$G$52+$F$52</f>
        <v>11600.3</v>
      </c>
      <c r="J52" s="3">
        <f t="shared" si="2"/>
        <v>11600.3</v>
      </c>
      <c r="K52" s="3">
        <f t="shared" si="2"/>
        <v>11600.3</v>
      </c>
      <c r="L52" s="3">
        <f t="shared" si="2"/>
        <v>11600.3</v>
      </c>
      <c r="M52" s="3">
        <f t="shared" si="2"/>
        <v>11600.3</v>
      </c>
      <c r="N52" s="3">
        <f t="shared" si="2"/>
        <v>11600.3</v>
      </c>
      <c r="O52" s="3">
        <f t="shared" si="2"/>
        <v>11600.3</v>
      </c>
      <c r="P52" s="3">
        <f t="shared" si="2"/>
        <v>11600.3</v>
      </c>
      <c r="Q52" s="3">
        <f t="shared" si="2"/>
        <v>11600.3</v>
      </c>
      <c r="R52" s="3">
        <f t="shared" si="2"/>
        <v>11600.3</v>
      </c>
      <c r="S52" s="3">
        <f t="shared" si="2"/>
        <v>11600.3</v>
      </c>
      <c r="T52" s="3">
        <f t="shared" si="2"/>
        <v>11600.3</v>
      </c>
      <c r="U52" s="3">
        <f t="shared" si="2"/>
        <v>11600.3</v>
      </c>
      <c r="V52" s="3">
        <f t="shared" si="2"/>
        <v>11600.3</v>
      </c>
      <c r="W52" s="3">
        <f t="shared" si="2"/>
        <v>11600.3</v>
      </c>
      <c r="X52" s="3">
        <f t="shared" si="2"/>
        <v>11600.3</v>
      </c>
      <c r="Y52" s="3">
        <f t="shared" si="2"/>
        <v>11600.3</v>
      </c>
      <c r="Z52" s="3">
        <f t="shared" si="2"/>
        <v>11600.3</v>
      </c>
      <c r="AA52" s="3">
        <f t="shared" si="2"/>
        <v>11600.3</v>
      </c>
    </row>
    <row r="53" spans="2:27" x14ac:dyDescent="0.25">
      <c r="B53" s="5" t="s">
        <v>46</v>
      </c>
      <c r="C53" s="3">
        <f>SUM(C51:C52)</f>
        <v>0</v>
      </c>
      <c r="D53" s="3">
        <f>SUM(D51:D52)</f>
        <v>0</v>
      </c>
      <c r="E53" s="3">
        <f>SUM(E51:E52)</f>
        <v>863</v>
      </c>
      <c r="F53" s="3">
        <f>SUM(F51:F52)</f>
        <v>3933.6499999999996</v>
      </c>
      <c r="G53" s="3">
        <f>SUM(G51:G52)</f>
        <v>4796.6499999999996</v>
      </c>
      <c r="H53" s="3">
        <f>SUM(H51:H52)+G52</f>
        <v>7666.65</v>
      </c>
      <c r="I53" s="3">
        <f t="shared" ref="I53:AA53" si="3">SUM(I51:I52)</f>
        <v>11600.3</v>
      </c>
      <c r="J53" s="3">
        <f t="shared" si="3"/>
        <v>15694.5</v>
      </c>
      <c r="K53" s="3">
        <f t="shared" si="3"/>
        <v>11600.3</v>
      </c>
      <c r="L53" s="3">
        <f t="shared" si="3"/>
        <v>14424.3</v>
      </c>
      <c r="M53" s="3">
        <f t="shared" si="3"/>
        <v>13728.3</v>
      </c>
      <c r="N53" s="3">
        <f t="shared" si="3"/>
        <v>11600.3</v>
      </c>
      <c r="O53" s="3">
        <f t="shared" si="3"/>
        <v>15694.5</v>
      </c>
      <c r="P53" s="3">
        <f t="shared" si="3"/>
        <v>11600.3</v>
      </c>
      <c r="Q53" s="3">
        <f t="shared" si="3"/>
        <v>14424.3</v>
      </c>
      <c r="R53" s="3">
        <f t="shared" si="3"/>
        <v>11600.3</v>
      </c>
      <c r="S53" s="5">
        <f t="shared" si="3"/>
        <v>11600.3</v>
      </c>
      <c r="T53" s="3">
        <f t="shared" si="3"/>
        <v>16758.5</v>
      </c>
      <c r="U53" s="3">
        <f t="shared" si="3"/>
        <v>13728.3</v>
      </c>
      <c r="V53" s="3">
        <f t="shared" si="3"/>
        <v>14424.3</v>
      </c>
      <c r="W53" s="3">
        <f t="shared" si="3"/>
        <v>11600.3</v>
      </c>
      <c r="X53" s="3">
        <f t="shared" si="3"/>
        <v>11600.3</v>
      </c>
      <c r="Y53" s="3">
        <f t="shared" si="3"/>
        <v>15694.5</v>
      </c>
      <c r="Z53" s="3">
        <f t="shared" si="3"/>
        <v>11600.3</v>
      </c>
      <c r="AA53" s="3">
        <f t="shared" si="3"/>
        <v>14424.3</v>
      </c>
    </row>
  </sheetData>
  <mergeCells count="40">
    <mergeCell ref="E12:E14"/>
    <mergeCell ref="G12:G14"/>
    <mergeCell ref="I12:I14"/>
    <mergeCell ref="K12:K14"/>
    <mergeCell ref="M12:M14"/>
    <mergeCell ref="E4:E6"/>
    <mergeCell ref="E8:E10"/>
    <mergeCell ref="G4:G6"/>
    <mergeCell ref="I4:I6"/>
    <mergeCell ref="K4:K6"/>
    <mergeCell ref="E27:E29"/>
    <mergeCell ref="G27:G29"/>
    <mergeCell ref="I27:I29"/>
    <mergeCell ref="K27:K29"/>
    <mergeCell ref="M27:M29"/>
    <mergeCell ref="M4:M6"/>
    <mergeCell ref="G8:G10"/>
    <mergeCell ref="I8:I10"/>
    <mergeCell ref="K8:K10"/>
    <mergeCell ref="M8:M10"/>
    <mergeCell ref="E35:E37"/>
    <mergeCell ref="G35:G37"/>
    <mergeCell ref="I35:I37"/>
    <mergeCell ref="K35:K37"/>
    <mergeCell ref="M35:M37"/>
    <mergeCell ref="E31:E33"/>
    <mergeCell ref="G31:G33"/>
    <mergeCell ref="I31:I33"/>
    <mergeCell ref="K31:K33"/>
    <mergeCell ref="M31:M33"/>
    <mergeCell ref="E43:E44"/>
    <mergeCell ref="G43:G44"/>
    <mergeCell ref="I43:I44"/>
    <mergeCell ref="K43:K44"/>
    <mergeCell ref="M43:M44"/>
    <mergeCell ref="E39:E41"/>
    <mergeCell ref="G39:G41"/>
    <mergeCell ref="I39:I41"/>
    <mergeCell ref="K39:K41"/>
    <mergeCell ref="M39:M4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55"/>
  <sheetViews>
    <sheetView topLeftCell="B1" zoomScaleNormal="100" workbookViewId="0">
      <selection activeCell="H4" sqref="H4"/>
    </sheetView>
  </sheetViews>
  <sheetFormatPr baseColWidth="10" defaultRowHeight="15" x14ac:dyDescent="0.25"/>
  <cols>
    <col min="2" max="2" width="20.42578125" bestFit="1" customWidth="1"/>
    <col min="3" max="3" width="51.28515625" bestFit="1" customWidth="1"/>
    <col min="4" max="4" width="16.7109375" customWidth="1"/>
    <col min="5" max="5" width="12.28515625" bestFit="1" customWidth="1"/>
    <col min="6" max="6" width="14.28515625" bestFit="1" customWidth="1"/>
    <col min="7" max="7" width="12.28515625" bestFit="1" customWidth="1"/>
    <col min="8" max="8" width="17.7109375" bestFit="1" customWidth="1"/>
    <col min="9" max="9" width="15.7109375" bestFit="1" customWidth="1"/>
    <col min="10" max="10" width="25.28515625" bestFit="1" customWidth="1"/>
    <col min="11" max="11" width="15.7109375" bestFit="1" customWidth="1"/>
    <col min="12" max="12" width="32.5703125" bestFit="1" customWidth="1"/>
    <col min="13" max="13" width="13.42578125" bestFit="1" customWidth="1"/>
    <col min="14" max="14" width="17" customWidth="1"/>
    <col min="15" max="27" width="13.28515625" bestFit="1" customWidth="1"/>
    <col min="29" max="29" width="12.42578125" bestFit="1" customWidth="1"/>
  </cols>
  <sheetData>
    <row r="2" spans="2:14" thickBot="1" x14ac:dyDescent="0.35"/>
    <row r="3" spans="2:14" ht="83.25" thickBot="1" x14ac:dyDescent="0.3">
      <c r="B3" s="24"/>
      <c r="C3" s="24" t="s">
        <v>121</v>
      </c>
      <c r="D3" s="25" t="s">
        <v>84</v>
      </c>
      <c r="E3" s="24" t="s">
        <v>83</v>
      </c>
      <c r="F3" s="24" t="s">
        <v>79</v>
      </c>
      <c r="G3" s="24" t="s">
        <v>82</v>
      </c>
      <c r="H3" s="24" t="s">
        <v>79</v>
      </c>
      <c r="I3" s="24" t="s">
        <v>81</v>
      </c>
      <c r="J3" s="24" t="s">
        <v>79</v>
      </c>
      <c r="K3" s="24" t="s">
        <v>80</v>
      </c>
      <c r="L3" s="24" t="s">
        <v>79</v>
      </c>
      <c r="M3" s="24" t="s">
        <v>78</v>
      </c>
      <c r="N3" s="24" t="s">
        <v>77</v>
      </c>
    </row>
    <row r="4" spans="2:14" ht="30.75" thickBot="1" x14ac:dyDescent="0.3">
      <c r="B4" s="45" t="s">
        <v>120</v>
      </c>
      <c r="C4" s="48" t="s">
        <v>119</v>
      </c>
      <c r="D4" s="44">
        <f>'TABLA GENERAL FASE 1 Y 2'!H145</f>
        <v>3202</v>
      </c>
      <c r="E4" s="47">
        <f>'TABLA GENERAL FASE 1 Y 2'!J145</f>
        <v>14</v>
      </c>
      <c r="F4" s="44">
        <f>E4*D4</f>
        <v>44828</v>
      </c>
      <c r="G4" s="47">
        <f>'TABLA GENERAL FASE 1 Y 2'!L145</f>
        <v>14</v>
      </c>
      <c r="H4" s="44">
        <f>G4*D4</f>
        <v>44828</v>
      </c>
      <c r="I4" s="47">
        <f>'TABLA GENERAL FASE 1 Y 2'!N145</f>
        <v>14</v>
      </c>
      <c r="J4" s="44">
        <f>I4*D4</f>
        <v>44828</v>
      </c>
      <c r="K4" s="47">
        <f>'TABLA GENERAL FASE 1 Y 2'!P145</f>
        <v>14</v>
      </c>
      <c r="L4" s="44">
        <f>K4*D4</f>
        <v>44828</v>
      </c>
      <c r="M4" s="46">
        <f>K4+I4+G4+E4</f>
        <v>56</v>
      </c>
      <c r="N4" s="44">
        <f>L4+J4+H4+F4</f>
        <v>179312</v>
      </c>
    </row>
    <row r="5" spans="2:14" ht="15.75" thickTop="1" x14ac:dyDescent="0.25">
      <c r="B5" s="55" t="s">
        <v>63</v>
      </c>
      <c r="C5" s="23" t="s">
        <v>62</v>
      </c>
      <c r="D5" s="15">
        <v>4.0000000000000001E-3</v>
      </c>
      <c r="E5" s="681"/>
      <c r="F5" s="29">
        <f>$D$5*$D$4*E4</f>
        <v>179.31200000000001</v>
      </c>
      <c r="G5" s="681"/>
      <c r="H5" s="29">
        <f>$D$5*$D$4*G4</f>
        <v>179.31200000000001</v>
      </c>
      <c r="I5" s="681"/>
      <c r="J5" s="29">
        <f>$D$5*$D$4*I4</f>
        <v>179.31200000000001</v>
      </c>
      <c r="K5" s="681"/>
      <c r="L5" s="29">
        <f>$D$5*$D$4*K4</f>
        <v>179.31200000000001</v>
      </c>
      <c r="M5" s="681"/>
      <c r="N5" s="54" t="s">
        <v>118</v>
      </c>
    </row>
    <row r="6" spans="2:14" ht="15.75" thickBot="1" x14ac:dyDescent="0.3">
      <c r="B6" s="55" t="s">
        <v>61</v>
      </c>
      <c r="C6" s="17" t="s">
        <v>60</v>
      </c>
      <c r="D6" s="15">
        <v>4.0000000000000001E-3</v>
      </c>
      <c r="E6" s="682"/>
      <c r="F6" s="29">
        <f>$D$6*$D$4*E4</f>
        <v>179.31200000000001</v>
      </c>
      <c r="G6" s="682"/>
      <c r="H6" s="29">
        <f>$D$6*$D$4*G4</f>
        <v>179.31200000000001</v>
      </c>
      <c r="I6" s="682"/>
      <c r="J6" s="29">
        <f>$D$6*$D$4*I4</f>
        <v>179.31200000000001</v>
      </c>
      <c r="K6" s="682"/>
      <c r="L6" s="29">
        <f>$D$6*$D$4*K4</f>
        <v>179.31200000000001</v>
      </c>
      <c r="M6" s="682"/>
      <c r="N6" s="54"/>
    </row>
    <row r="7" spans="2:14" ht="15.6" thickTop="1" thickBot="1" x14ac:dyDescent="0.35">
      <c r="B7" s="45" t="s">
        <v>117</v>
      </c>
      <c r="C7" s="32" t="s">
        <v>116</v>
      </c>
      <c r="D7" s="44">
        <f>'TABLA GENERAL FASE 1 Y 2'!H146</f>
        <v>12096</v>
      </c>
      <c r="E7" s="15">
        <f>'TABLA GENERAL FASE 1 Y 2'!J146</f>
        <v>0</v>
      </c>
      <c r="F7" s="44">
        <f>E7*D7</f>
        <v>0</v>
      </c>
      <c r="G7" s="15">
        <f>'TABLA GENERAL FASE 1 Y 2'!L146</f>
        <v>0</v>
      </c>
      <c r="H7" s="44">
        <f>G7*D7</f>
        <v>0</v>
      </c>
      <c r="I7" s="15">
        <f>'TABLA GENERAL FASE 1 Y 2'!N146</f>
        <v>0</v>
      </c>
      <c r="J7" s="44">
        <f>I7*D7</f>
        <v>0</v>
      </c>
      <c r="K7" s="15">
        <f>'TABLA GENERAL FASE 1 Y 2'!P146</f>
        <v>5</v>
      </c>
      <c r="L7" s="44">
        <f>K7*D7</f>
        <v>60480</v>
      </c>
      <c r="M7" s="18">
        <f>K7+I7+G7+E7</f>
        <v>5</v>
      </c>
      <c r="N7" s="44">
        <f>L7+J7+H7+F7</f>
        <v>60480</v>
      </c>
    </row>
    <row r="8" spans="2:14" ht="15.75" thickTop="1" x14ac:dyDescent="0.25">
      <c r="B8" s="55" t="s">
        <v>63</v>
      </c>
      <c r="C8" s="23" t="s">
        <v>62</v>
      </c>
      <c r="D8" s="15">
        <v>4.0000000000000001E-3</v>
      </c>
      <c r="E8" s="681"/>
      <c r="F8" s="29">
        <f>$D$8*$D$7*E7</f>
        <v>0</v>
      </c>
      <c r="G8" s="681"/>
      <c r="H8" s="29">
        <f>$D$8*$D$7*G7</f>
        <v>0</v>
      </c>
      <c r="I8" s="681"/>
      <c r="J8" s="29">
        <f>$D$8*$D$7*I7</f>
        <v>0</v>
      </c>
      <c r="K8" s="681"/>
      <c r="L8" s="29">
        <f>$D$8*$D$7*K7</f>
        <v>241.92000000000002</v>
      </c>
      <c r="M8" s="681"/>
      <c r="N8" s="54"/>
    </row>
    <row r="9" spans="2:14" x14ac:dyDescent="0.25">
      <c r="B9" s="55" t="s">
        <v>61</v>
      </c>
      <c r="C9" s="17" t="s">
        <v>60</v>
      </c>
      <c r="D9" s="15">
        <v>4.0000000000000001E-3</v>
      </c>
      <c r="E9" s="682"/>
      <c r="F9" s="29">
        <f>$D$9*$D$7*E7</f>
        <v>0</v>
      </c>
      <c r="G9" s="682"/>
      <c r="H9" s="29">
        <f>$D$9*$D$7*G7</f>
        <v>0</v>
      </c>
      <c r="I9" s="682"/>
      <c r="J9" s="29">
        <f>$D$9*$D$7*I7</f>
        <v>0</v>
      </c>
      <c r="K9" s="682"/>
      <c r="L9" s="29">
        <f>$D$9*$D$7*K7</f>
        <v>241.92000000000002</v>
      </c>
      <c r="M9" s="682"/>
      <c r="N9" s="54"/>
    </row>
    <row r="10" spans="2:14" ht="15.75" thickBot="1" x14ac:dyDescent="0.3">
      <c r="B10" s="55" t="s">
        <v>67</v>
      </c>
      <c r="C10" s="16" t="s">
        <v>70</v>
      </c>
      <c r="D10" s="15">
        <v>0.02</v>
      </c>
      <c r="E10" s="683"/>
      <c r="F10" s="29">
        <f>$D$10*$D$7*E7</f>
        <v>0</v>
      </c>
      <c r="G10" s="683"/>
      <c r="H10" s="29">
        <f>$D$10*$D$7*G7</f>
        <v>0</v>
      </c>
      <c r="I10" s="683"/>
      <c r="J10" s="29">
        <f>$D$10*$D$7*I7</f>
        <v>0</v>
      </c>
      <c r="K10" s="683"/>
      <c r="L10" s="29">
        <f>$D$10*$D$7*K7</f>
        <v>1209.6000000000001</v>
      </c>
      <c r="M10" s="683"/>
      <c r="N10" s="54"/>
    </row>
    <row r="11" spans="2:14" ht="15.6" thickTop="1" thickBot="1" x14ac:dyDescent="0.35">
      <c r="B11" s="45" t="s">
        <v>115</v>
      </c>
      <c r="C11" s="32" t="s">
        <v>114</v>
      </c>
      <c r="D11" s="44">
        <f>'TABLA GENERAL FASE 1 Y 2'!H147</f>
        <v>3600</v>
      </c>
      <c r="E11" s="15">
        <f>'TABLA GENERAL FASE 1 Y 2'!J147</f>
        <v>18</v>
      </c>
      <c r="F11" s="44">
        <f>E11*D11</f>
        <v>64800</v>
      </c>
      <c r="G11" s="15">
        <f>'TABLA GENERAL FASE 1 Y 2'!L147</f>
        <v>6</v>
      </c>
      <c r="H11" s="44">
        <f>G11*D11</f>
        <v>21600</v>
      </c>
      <c r="I11" s="15">
        <f>'TABLA GENERAL FASE 1 Y 2'!N147</f>
        <v>22</v>
      </c>
      <c r="J11" s="44">
        <f>I11*D11</f>
        <v>79200</v>
      </c>
      <c r="K11" s="15">
        <f>'TABLA GENERAL FASE 1 Y 2'!P147</f>
        <v>10</v>
      </c>
      <c r="L11" s="44">
        <f>K11*D11</f>
        <v>36000</v>
      </c>
      <c r="M11" s="18">
        <f>K11+I11+G11+E11</f>
        <v>56</v>
      </c>
      <c r="N11" s="44">
        <f>L11+J11+H11+F11</f>
        <v>201600</v>
      </c>
    </row>
    <row r="12" spans="2:14" ht="15.75" thickTop="1" x14ac:dyDescent="0.25">
      <c r="B12" s="55" t="s">
        <v>63</v>
      </c>
      <c r="C12" s="23" t="s">
        <v>62</v>
      </c>
      <c r="D12" s="15">
        <v>4.0000000000000001E-3</v>
      </c>
      <c r="E12" s="681"/>
      <c r="F12" s="29">
        <f>$D$12*$D$11*E11</f>
        <v>259.2</v>
      </c>
      <c r="G12" s="681"/>
      <c r="H12" s="29">
        <f>$D$12*$D$11*G11</f>
        <v>86.4</v>
      </c>
      <c r="I12" s="681"/>
      <c r="J12" s="29">
        <f>$D$12*$D$11*I11</f>
        <v>316.8</v>
      </c>
      <c r="K12" s="681"/>
      <c r="L12" s="29">
        <f>$D$12*$D$11*K11</f>
        <v>144</v>
      </c>
      <c r="M12" s="681"/>
      <c r="N12" s="54"/>
    </row>
    <row r="13" spans="2:14" x14ac:dyDescent="0.25">
      <c r="B13" s="55" t="s">
        <v>61</v>
      </c>
      <c r="C13" s="17" t="s">
        <v>60</v>
      </c>
      <c r="D13" s="15">
        <v>4.0000000000000001E-3</v>
      </c>
      <c r="E13" s="682"/>
      <c r="F13" s="29">
        <f>$D$13*$D$11*E11</f>
        <v>259.2</v>
      </c>
      <c r="G13" s="682"/>
      <c r="H13" s="29">
        <f>$D$13*$D$11*G11</f>
        <v>86.4</v>
      </c>
      <c r="I13" s="682"/>
      <c r="J13" s="29">
        <f>$D$13*$D$11*I11</f>
        <v>316.8</v>
      </c>
      <c r="K13" s="682"/>
      <c r="L13" s="29">
        <f>$D$13*$D$11*K11</f>
        <v>144</v>
      </c>
      <c r="M13" s="682"/>
      <c r="N13" s="54"/>
    </row>
    <row r="14" spans="2:14" ht="15.75" thickBot="1" x14ac:dyDescent="0.3">
      <c r="B14" s="55" t="s">
        <v>67</v>
      </c>
      <c r="C14" s="16" t="s">
        <v>70</v>
      </c>
      <c r="D14" s="15">
        <v>0.02</v>
      </c>
      <c r="E14" s="683"/>
      <c r="F14" s="29">
        <f>$D$14*$D$11*E11</f>
        <v>1296</v>
      </c>
      <c r="G14" s="683"/>
      <c r="H14" s="29">
        <f>$D$14*$D$11*G11</f>
        <v>432</v>
      </c>
      <c r="I14" s="683"/>
      <c r="J14" s="29">
        <f>$D$14*$D$11*I11</f>
        <v>1584</v>
      </c>
      <c r="K14" s="683"/>
      <c r="L14" s="29">
        <f>$D$14*$D$11*K11</f>
        <v>720</v>
      </c>
      <c r="M14" s="683"/>
      <c r="N14" s="54"/>
    </row>
    <row r="15" spans="2:14" ht="15.6" thickTop="1" thickBot="1" x14ac:dyDescent="0.35">
      <c r="B15" s="45" t="s">
        <v>113</v>
      </c>
      <c r="C15" s="57" t="s">
        <v>112</v>
      </c>
      <c r="D15" s="44">
        <f>'TABLA GENERAL FASE 1 Y 2'!H153</f>
        <v>450</v>
      </c>
      <c r="E15" s="15">
        <f>'TABLA GENERAL FASE 1 Y 2'!J153</f>
        <v>0</v>
      </c>
      <c r="F15" s="44">
        <f>E15*D15</f>
        <v>0</v>
      </c>
      <c r="G15" s="51">
        <f>'TABLA GENERAL FASE 1 Y 2'!L153</f>
        <v>0</v>
      </c>
      <c r="H15" s="44">
        <f>G15*D15</f>
        <v>0</v>
      </c>
      <c r="I15" s="15">
        <f>'TABLA GENERAL FASE 1 Y 2'!N153</f>
        <v>0</v>
      </c>
      <c r="J15" s="44">
        <f>I15*D15</f>
        <v>0</v>
      </c>
      <c r="K15" s="51">
        <f>'TABLA GENERAL FASE 1 Y 2'!P153</f>
        <v>14</v>
      </c>
      <c r="L15" s="44">
        <f>K15*D15</f>
        <v>6300</v>
      </c>
      <c r="M15" s="18">
        <f>K15+I15+G15+E15</f>
        <v>14</v>
      </c>
      <c r="N15" s="44">
        <f>L15+J15+H15+F15</f>
        <v>6300</v>
      </c>
    </row>
    <row r="16" spans="2:14" x14ac:dyDescent="0.25">
      <c r="B16" s="55" t="s">
        <v>63</v>
      </c>
      <c r="C16" s="23" t="s">
        <v>62</v>
      </c>
      <c r="D16" s="15">
        <v>4.0000000000000001E-3</v>
      </c>
      <c r="E16" s="681"/>
      <c r="F16" s="29">
        <f>$D$16*$D$15*E15</f>
        <v>0</v>
      </c>
      <c r="G16" s="681"/>
      <c r="H16" s="29">
        <f>$D$16*$D$15*G15</f>
        <v>0</v>
      </c>
      <c r="I16" s="681"/>
      <c r="J16" s="29">
        <f>$D$16*$D$15*I15</f>
        <v>0</v>
      </c>
      <c r="K16" s="681"/>
      <c r="L16" s="29">
        <f>$D$16*$D$15*K15</f>
        <v>25.2</v>
      </c>
      <c r="M16" s="681"/>
      <c r="N16" s="54"/>
    </row>
    <row r="17" spans="1:29" ht="15.75" thickBot="1" x14ac:dyDescent="0.3">
      <c r="B17" s="55" t="s">
        <v>61</v>
      </c>
      <c r="C17" s="17" t="s">
        <v>60</v>
      </c>
      <c r="D17" s="15">
        <v>5.0000000000000001E-3</v>
      </c>
      <c r="E17" s="682"/>
      <c r="F17" s="29">
        <f>$D$17*$D$15*E15</f>
        <v>0</v>
      </c>
      <c r="G17" s="682"/>
      <c r="H17" s="29">
        <f>$D$17*$D$15*G15</f>
        <v>0</v>
      </c>
      <c r="I17" s="682"/>
      <c r="J17" s="29">
        <f>$D$17*$D$15*I15</f>
        <v>0</v>
      </c>
      <c r="K17" s="682"/>
      <c r="L17" s="29">
        <f>$D$17*$D$15*K15</f>
        <v>31.5</v>
      </c>
      <c r="M17" s="682"/>
      <c r="N17" s="54"/>
    </row>
    <row r="18" spans="1:29" ht="16.5" thickTop="1" thickBot="1" x14ac:dyDescent="0.3">
      <c r="B18" s="45" t="s">
        <v>111</v>
      </c>
      <c r="C18" s="32" t="s">
        <v>110</v>
      </c>
      <c r="D18" s="44">
        <f>'TABLA GENERAL FASE 1 Y 2'!H160</f>
        <v>5572</v>
      </c>
      <c r="E18" s="15">
        <f>'TABLA GENERAL FASE 1 Y 2'!J160</f>
        <v>0</v>
      </c>
      <c r="F18" s="44">
        <f>E18*D18</f>
        <v>0</v>
      </c>
      <c r="G18" s="15">
        <f>'TABLA GENERAL FASE 1 Y 2'!L160</f>
        <v>0</v>
      </c>
      <c r="H18" s="44">
        <f>G18*D18</f>
        <v>0</v>
      </c>
      <c r="I18" s="15">
        <f>'TABLA GENERAL FASE 1 Y 2'!N160</f>
        <v>0</v>
      </c>
      <c r="J18" s="44">
        <f>I18*D18</f>
        <v>0</v>
      </c>
      <c r="K18" s="15">
        <f>'TABLA GENERAL FASE 1 Y 2'!P160</f>
        <v>4</v>
      </c>
      <c r="L18" s="44">
        <f>K18*D18</f>
        <v>22288</v>
      </c>
      <c r="M18" s="18">
        <f>K18+I18+G18+E18</f>
        <v>4</v>
      </c>
      <c r="N18" s="44">
        <f>L18+J18+H18+F18</f>
        <v>22288</v>
      </c>
    </row>
    <row r="19" spans="1:29" ht="15.75" thickTop="1" x14ac:dyDescent="0.25">
      <c r="B19" s="55" t="s">
        <v>63</v>
      </c>
      <c r="C19" s="17" t="s">
        <v>62</v>
      </c>
      <c r="D19" s="15">
        <v>5.0000000000000001E-3</v>
      </c>
      <c r="E19" s="684"/>
      <c r="F19" s="29">
        <f>$D$19*$D$18*E18</f>
        <v>0</v>
      </c>
      <c r="G19" s="684"/>
      <c r="H19" s="29">
        <f>$D$19*$D$18*G18</f>
        <v>0</v>
      </c>
      <c r="I19" s="684"/>
      <c r="J19" s="29">
        <f>$D$19*$D$18*I18</f>
        <v>0</v>
      </c>
      <c r="K19" s="684"/>
      <c r="L19" s="29">
        <f>$D$19*$D$18*K18</f>
        <v>111.44</v>
      </c>
      <c r="M19" s="684"/>
      <c r="N19" s="54"/>
    </row>
    <row r="20" spans="1:29" ht="15.75" thickBot="1" x14ac:dyDescent="0.3">
      <c r="B20" s="53" t="s">
        <v>61</v>
      </c>
      <c r="C20" s="52" t="s">
        <v>60</v>
      </c>
      <c r="D20" s="51">
        <v>5.0000000000000001E-3</v>
      </c>
      <c r="E20" s="686"/>
      <c r="F20" s="29">
        <f>$D$20*$D$18*E18</f>
        <v>0</v>
      </c>
      <c r="G20" s="686"/>
      <c r="H20" s="29">
        <f>$D$20*$D$18*G18</f>
        <v>0</v>
      </c>
      <c r="I20" s="686"/>
      <c r="J20" s="29">
        <f>$D$20*$D$18*I18</f>
        <v>0</v>
      </c>
      <c r="K20" s="686"/>
      <c r="L20" s="29">
        <f>$D$20*$D$18*K18</f>
        <v>111.44</v>
      </c>
      <c r="M20" s="686"/>
      <c r="N20" s="50"/>
    </row>
    <row r="21" spans="1:29" ht="16.5" thickTop="1" thickBot="1" x14ac:dyDescent="0.3">
      <c r="B21" s="56" t="s">
        <v>109</v>
      </c>
      <c r="C21" s="32" t="s">
        <v>108</v>
      </c>
      <c r="D21" s="44">
        <f>'TABLA GENERAL FASE 1 Y 2'!H154</f>
        <v>3305</v>
      </c>
      <c r="E21" s="15">
        <f>'TABLA GENERAL FASE 1 Y 2'!J154</f>
        <v>14</v>
      </c>
      <c r="F21" s="44">
        <f>E21*D21</f>
        <v>46270</v>
      </c>
      <c r="G21" s="15">
        <f>'TABLA GENERAL FASE 1 Y 2'!L154</f>
        <v>0</v>
      </c>
      <c r="H21" s="44">
        <f>G21*D21</f>
        <v>0</v>
      </c>
      <c r="I21" s="15">
        <f>'TABLA GENERAL FASE 1 Y 2'!N154</f>
        <v>12</v>
      </c>
      <c r="J21" s="44">
        <f>I21*D21</f>
        <v>39660</v>
      </c>
      <c r="K21" s="15">
        <f>'TABLA GENERAL FASE 1 Y 2'!P154</f>
        <v>10</v>
      </c>
      <c r="L21" s="44">
        <f>K21*D21</f>
        <v>33050</v>
      </c>
      <c r="M21" s="18">
        <f>K21+I21+G21+E21</f>
        <v>36</v>
      </c>
      <c r="N21" s="44">
        <f>L21+J21+H21+F21</f>
        <v>118980</v>
      </c>
    </row>
    <row r="22" spans="1:29" ht="15.75" thickTop="1" x14ac:dyDescent="0.25">
      <c r="B22" s="55" t="s">
        <v>63</v>
      </c>
      <c r="C22" s="17" t="s">
        <v>62</v>
      </c>
      <c r="D22" s="15">
        <v>4.0000000000000001E-3</v>
      </c>
      <c r="E22" s="684"/>
      <c r="F22" s="29">
        <f>$D$22*$D$21*E21</f>
        <v>185.08</v>
      </c>
      <c r="G22" s="684"/>
      <c r="H22" s="29">
        <f>$D$22*$D$21*G21</f>
        <v>0</v>
      </c>
      <c r="I22" s="684"/>
      <c r="J22" s="29">
        <f>$D$22*$D$21*I21</f>
        <v>158.64000000000001</v>
      </c>
      <c r="K22" s="684"/>
      <c r="L22" s="29">
        <f>$D$22*$D$21*K21</f>
        <v>132.20000000000002</v>
      </c>
      <c r="M22" s="684"/>
      <c r="N22" s="54"/>
    </row>
    <row r="23" spans="1:29" ht="15.75" thickBot="1" x14ac:dyDescent="0.3">
      <c r="B23" s="53" t="s">
        <v>61</v>
      </c>
      <c r="C23" s="52" t="s">
        <v>60</v>
      </c>
      <c r="D23" s="51">
        <v>4.0000000000000001E-3</v>
      </c>
      <c r="E23" s="686"/>
      <c r="F23" s="29">
        <f>$D$23*$D$21*E21</f>
        <v>185.08</v>
      </c>
      <c r="G23" s="686"/>
      <c r="H23" s="29">
        <f>$D$23*$D$21*G21</f>
        <v>0</v>
      </c>
      <c r="I23" s="686"/>
      <c r="J23" s="29">
        <f>$D$23*$D$21*I21</f>
        <v>158.64000000000001</v>
      </c>
      <c r="K23" s="686"/>
      <c r="L23" s="29">
        <f>$D$23*$D$21*K21</f>
        <v>132.20000000000002</v>
      </c>
      <c r="M23" s="686"/>
      <c r="N23" s="50"/>
    </row>
    <row r="24" spans="1:29" x14ac:dyDescent="0.25">
      <c r="B24" s="36"/>
      <c r="D24" s="36">
        <v>2021</v>
      </c>
      <c r="E24" s="35">
        <v>1</v>
      </c>
      <c r="F24" s="34">
        <f>F5+F6+F12+F13+F16+F17+F8+F9+F19+F20+F22+F23</f>
        <v>1247.184</v>
      </c>
      <c r="G24" s="35">
        <v>2022</v>
      </c>
      <c r="H24" s="34">
        <f>H5+H6+H12+H13+H16+H17+H8+H9+H19+H20+H22+H23</f>
        <v>531.42399999999998</v>
      </c>
      <c r="I24" s="35">
        <v>2023</v>
      </c>
      <c r="J24" s="34">
        <f>J5+J6+J12+J13+J16+J17+J8+J9+J19+J20+J22+J23</f>
        <v>1309.5040000000001</v>
      </c>
      <c r="K24" s="35">
        <v>2025</v>
      </c>
      <c r="L24" s="34">
        <f>L5+L6+L12+L13+L16+L17+L8+L9+L19+L20+L22+L23</f>
        <v>1674.4440000000004</v>
      </c>
      <c r="M24" s="35"/>
      <c r="N24" s="49"/>
    </row>
    <row r="25" spans="1:29" x14ac:dyDescent="0.25">
      <c r="B25" s="36"/>
      <c r="D25" s="36"/>
      <c r="E25" s="35">
        <v>2</v>
      </c>
      <c r="F25" s="34">
        <f>F10+F14</f>
        <v>1296</v>
      </c>
      <c r="G25" s="35"/>
      <c r="H25" s="34">
        <f>H10+H14</f>
        <v>432</v>
      </c>
      <c r="I25" s="35"/>
      <c r="J25" s="34">
        <f>J10+J14</f>
        <v>1584</v>
      </c>
      <c r="K25" s="35"/>
      <c r="L25" s="34">
        <f>L10+L14</f>
        <v>1929.6000000000001</v>
      </c>
      <c r="M25" s="35"/>
      <c r="N25" s="49"/>
    </row>
    <row r="28" spans="1:29" ht="15.75" thickBot="1" x14ac:dyDescent="0.3">
      <c r="C28" s="221">
        <v>2021</v>
      </c>
      <c r="D28" s="221">
        <v>2022</v>
      </c>
      <c r="E28" s="221">
        <v>2023</v>
      </c>
      <c r="F28" s="221">
        <v>2024</v>
      </c>
      <c r="G28" s="221">
        <v>2025</v>
      </c>
      <c r="H28" s="221">
        <v>2026</v>
      </c>
      <c r="I28" s="221">
        <v>2027</v>
      </c>
      <c r="J28" s="221">
        <v>2028</v>
      </c>
      <c r="K28" s="221">
        <v>2029</v>
      </c>
      <c r="L28" s="221">
        <v>2030</v>
      </c>
      <c r="M28" s="221">
        <v>2031</v>
      </c>
      <c r="N28" s="221">
        <v>2032</v>
      </c>
      <c r="O28" s="221">
        <v>2033</v>
      </c>
      <c r="P28" s="221">
        <v>2034</v>
      </c>
      <c r="Q28" s="221">
        <v>2035</v>
      </c>
      <c r="R28" s="221">
        <v>2036</v>
      </c>
      <c r="S28" s="221">
        <v>2037</v>
      </c>
      <c r="T28" s="221">
        <v>2038</v>
      </c>
      <c r="U28" s="221">
        <v>2039</v>
      </c>
      <c r="V28" s="221">
        <v>2040</v>
      </c>
      <c r="W28" s="221">
        <v>2041</v>
      </c>
      <c r="X28" s="221">
        <v>2042</v>
      </c>
      <c r="Y28" s="221">
        <v>2043</v>
      </c>
      <c r="Z28" s="221">
        <v>2044</v>
      </c>
      <c r="AA28" s="221">
        <v>2045</v>
      </c>
      <c r="AB28" s="221">
        <v>2046</v>
      </c>
    </row>
    <row r="29" spans="1:29" ht="15.75" thickBot="1" x14ac:dyDescent="0.3">
      <c r="B29" s="7" t="s">
        <v>41</v>
      </c>
      <c r="C29" s="221" t="s">
        <v>59</v>
      </c>
      <c r="D29" s="221" t="s">
        <v>40</v>
      </c>
      <c r="E29" s="221" t="s">
        <v>39</v>
      </c>
      <c r="F29" s="221" t="s">
        <v>38</v>
      </c>
      <c r="G29" s="221" t="s">
        <v>58</v>
      </c>
      <c r="H29" s="221" t="s">
        <v>36</v>
      </c>
      <c r="I29" s="221" t="s">
        <v>35</v>
      </c>
      <c r="J29" s="221" t="s">
        <v>34</v>
      </c>
      <c r="K29" s="221" t="s">
        <v>33</v>
      </c>
      <c r="L29" s="221" t="s">
        <v>32</v>
      </c>
      <c r="M29" s="221" t="s">
        <v>31</v>
      </c>
      <c r="N29" s="221" t="s">
        <v>30</v>
      </c>
      <c r="O29" s="221" t="s">
        <v>57</v>
      </c>
      <c r="P29" s="221" t="s">
        <v>56</v>
      </c>
      <c r="Q29" s="221" t="s">
        <v>27</v>
      </c>
      <c r="R29" s="221" t="s">
        <v>55</v>
      </c>
      <c r="S29" s="221" t="s">
        <v>54</v>
      </c>
      <c r="T29" s="221" t="s">
        <v>24</v>
      </c>
      <c r="U29" s="221" t="s">
        <v>23</v>
      </c>
      <c r="V29" s="221" t="s">
        <v>53</v>
      </c>
      <c r="W29" s="221" t="s">
        <v>21</v>
      </c>
      <c r="X29" s="221" t="s">
        <v>52</v>
      </c>
      <c r="Y29" s="221" t="s">
        <v>51</v>
      </c>
      <c r="Z29" s="221" t="s">
        <v>50</v>
      </c>
      <c r="AA29" s="221" t="s">
        <v>49</v>
      </c>
      <c r="AB29" s="221" t="s">
        <v>97</v>
      </c>
      <c r="AC29" s="227" t="s">
        <v>96</v>
      </c>
    </row>
    <row r="30" spans="1:29" ht="30.75" thickBot="1" x14ac:dyDescent="0.3">
      <c r="A30">
        <v>1</v>
      </c>
      <c r="B30" s="5" t="s">
        <v>47</v>
      </c>
      <c r="C30" s="6"/>
      <c r="D30" s="26">
        <f>F24</f>
        <v>1247.184</v>
      </c>
      <c r="E30" s="26">
        <f>$F$24+$H$24</f>
        <v>1778.6079999999999</v>
      </c>
      <c r="F30" s="26">
        <f>$F$24+$H$24+$J$24</f>
        <v>3088.1120000000001</v>
      </c>
      <c r="G30" s="26">
        <f>$F$24+$H$24+$J$24</f>
        <v>3088.1120000000001</v>
      </c>
      <c r="H30" s="26">
        <f t="shared" ref="H30:AA30" si="0">$F$24+$H$24+$L$24+$J$24</f>
        <v>4762.5560000000005</v>
      </c>
      <c r="I30" s="26">
        <f t="shared" si="0"/>
        <v>4762.5560000000005</v>
      </c>
      <c r="J30" s="26">
        <f t="shared" si="0"/>
        <v>4762.5560000000005</v>
      </c>
      <c r="K30" s="26">
        <f t="shared" si="0"/>
        <v>4762.5560000000005</v>
      </c>
      <c r="L30" s="26">
        <f t="shared" si="0"/>
        <v>4762.5560000000005</v>
      </c>
      <c r="M30" s="26">
        <f t="shared" si="0"/>
        <v>4762.5560000000005</v>
      </c>
      <c r="N30" s="26">
        <f t="shared" si="0"/>
        <v>4762.5560000000005</v>
      </c>
      <c r="O30" s="26">
        <f t="shared" si="0"/>
        <v>4762.5560000000005</v>
      </c>
      <c r="P30" s="26">
        <f t="shared" si="0"/>
        <v>4762.5560000000005</v>
      </c>
      <c r="Q30" s="26">
        <f t="shared" si="0"/>
        <v>4762.5560000000005</v>
      </c>
      <c r="R30" s="26">
        <f t="shared" si="0"/>
        <v>4762.5560000000005</v>
      </c>
      <c r="S30" s="26">
        <f t="shared" si="0"/>
        <v>4762.5560000000005</v>
      </c>
      <c r="T30" s="26">
        <f t="shared" si="0"/>
        <v>4762.5560000000005</v>
      </c>
      <c r="U30" s="26">
        <f t="shared" si="0"/>
        <v>4762.5560000000005</v>
      </c>
      <c r="V30" s="26">
        <f t="shared" si="0"/>
        <v>4762.5560000000005</v>
      </c>
      <c r="W30" s="26">
        <f t="shared" si="0"/>
        <v>4762.5560000000005</v>
      </c>
      <c r="X30" s="26">
        <f t="shared" si="0"/>
        <v>4762.5560000000005</v>
      </c>
      <c r="Y30" s="26">
        <f t="shared" si="0"/>
        <v>4762.5560000000005</v>
      </c>
      <c r="Z30" s="26">
        <f t="shared" si="0"/>
        <v>4762.5560000000005</v>
      </c>
      <c r="AA30" s="26">
        <f t="shared" si="0"/>
        <v>4762.5560000000005</v>
      </c>
      <c r="AB30" s="26">
        <f>Z24+AB24+AF24+AD24</f>
        <v>0</v>
      </c>
      <c r="AC30" s="228">
        <f>SUM(C30:AB30)</f>
        <v>104453.13599999995</v>
      </c>
    </row>
    <row r="31" spans="1:29" ht="60.75" thickBot="1" x14ac:dyDescent="0.3">
      <c r="A31">
        <v>2</v>
      </c>
      <c r="B31" s="5" t="s">
        <v>107</v>
      </c>
      <c r="C31" s="3">
        <f>(F8+F9)</f>
        <v>0</v>
      </c>
      <c r="D31" s="3"/>
      <c r="E31" s="3"/>
      <c r="F31" s="3"/>
      <c r="G31" s="3"/>
      <c r="H31" s="3">
        <f>$F$25</f>
        <v>1296</v>
      </c>
      <c r="I31" s="3">
        <f>$H$25</f>
        <v>432</v>
      </c>
      <c r="J31" s="3">
        <f>$J$25</f>
        <v>1584</v>
      </c>
      <c r="K31" s="3"/>
      <c r="L31" s="3"/>
      <c r="M31" s="3">
        <f>$F$25</f>
        <v>1296</v>
      </c>
      <c r="N31" s="3">
        <f>$H$25</f>
        <v>432</v>
      </c>
      <c r="O31" s="3">
        <f>$J$25</f>
        <v>1584</v>
      </c>
      <c r="P31" s="3"/>
      <c r="Q31" s="3"/>
      <c r="R31" s="3">
        <f>$F$25</f>
        <v>1296</v>
      </c>
      <c r="S31" s="3">
        <f>$H$25</f>
        <v>432</v>
      </c>
      <c r="T31" s="3">
        <f>$J$25</f>
        <v>1584</v>
      </c>
      <c r="U31" s="3"/>
      <c r="V31" s="3"/>
      <c r="W31" s="3">
        <f>$F$25</f>
        <v>1296</v>
      </c>
      <c r="X31" s="3">
        <f>$H$25</f>
        <v>432</v>
      </c>
      <c r="Y31" s="3">
        <f>$J$25</f>
        <v>1584</v>
      </c>
      <c r="Z31" s="3"/>
      <c r="AA31" s="3"/>
      <c r="AB31" s="3">
        <f>$F$25</f>
        <v>1296</v>
      </c>
      <c r="AC31" s="228">
        <f t="shared" ref="AC31:AC32" si="1">SUM(C31:AB31)</f>
        <v>14544</v>
      </c>
    </row>
    <row r="32" spans="1:29" ht="15.75" thickBot="1" x14ac:dyDescent="0.3">
      <c r="B32" s="5" t="s">
        <v>46</v>
      </c>
      <c r="C32" s="3">
        <f t="shared" ref="C32:AB32" si="2">SUM(C30:C31)</f>
        <v>0</v>
      </c>
      <c r="D32" s="3">
        <f t="shared" si="2"/>
        <v>1247.184</v>
      </c>
      <c r="E32" s="3">
        <f t="shared" si="2"/>
        <v>1778.6079999999999</v>
      </c>
      <c r="F32" s="3">
        <f t="shared" si="2"/>
        <v>3088.1120000000001</v>
      </c>
      <c r="G32" s="3">
        <f t="shared" si="2"/>
        <v>3088.1120000000001</v>
      </c>
      <c r="H32" s="3">
        <f t="shared" si="2"/>
        <v>6058.5560000000005</v>
      </c>
      <c r="I32" s="3">
        <f t="shared" si="2"/>
        <v>5194.5560000000005</v>
      </c>
      <c r="J32" s="3">
        <f t="shared" si="2"/>
        <v>6346.5560000000005</v>
      </c>
      <c r="K32" s="3">
        <f t="shared" si="2"/>
        <v>4762.5560000000005</v>
      </c>
      <c r="L32" s="3">
        <f t="shared" si="2"/>
        <v>4762.5560000000005</v>
      </c>
      <c r="M32" s="3">
        <f t="shared" si="2"/>
        <v>6058.5560000000005</v>
      </c>
      <c r="N32" s="3">
        <f t="shared" si="2"/>
        <v>5194.5560000000005</v>
      </c>
      <c r="O32" s="3">
        <f t="shared" si="2"/>
        <v>6346.5560000000005</v>
      </c>
      <c r="P32" s="3">
        <f t="shared" si="2"/>
        <v>4762.5560000000005</v>
      </c>
      <c r="Q32" s="3">
        <f t="shared" si="2"/>
        <v>4762.5560000000005</v>
      </c>
      <c r="R32" s="3">
        <f t="shared" si="2"/>
        <v>6058.5560000000005</v>
      </c>
      <c r="S32" s="3">
        <f t="shared" si="2"/>
        <v>5194.5560000000005</v>
      </c>
      <c r="T32" s="3">
        <f t="shared" si="2"/>
        <v>6346.5560000000005</v>
      </c>
      <c r="U32" s="3">
        <f t="shared" si="2"/>
        <v>4762.5560000000005</v>
      </c>
      <c r="V32" s="3">
        <f t="shared" si="2"/>
        <v>4762.5560000000005</v>
      </c>
      <c r="W32" s="3">
        <f t="shared" si="2"/>
        <v>6058.5560000000005</v>
      </c>
      <c r="X32" s="3">
        <f t="shared" si="2"/>
        <v>5194.5560000000005</v>
      </c>
      <c r="Y32" s="3">
        <f t="shared" si="2"/>
        <v>6346.5560000000005</v>
      </c>
      <c r="Z32" s="3">
        <f t="shared" si="2"/>
        <v>4762.5560000000005</v>
      </c>
      <c r="AA32" s="3">
        <f t="shared" si="2"/>
        <v>4762.5560000000005</v>
      </c>
      <c r="AB32" s="3">
        <f t="shared" si="2"/>
        <v>1296</v>
      </c>
      <c r="AC32" s="228">
        <f t="shared" si="1"/>
        <v>118997.13599999995</v>
      </c>
    </row>
    <row r="34" spans="2:15" ht="15.75" thickBot="1" x14ac:dyDescent="0.3"/>
    <row r="35" spans="2:15" ht="83.25" thickBot="1" x14ac:dyDescent="0.3">
      <c r="B35" s="24"/>
      <c r="C35" s="24" t="s">
        <v>106</v>
      </c>
      <c r="D35" s="25" t="s">
        <v>84</v>
      </c>
      <c r="E35" s="24" t="s">
        <v>83</v>
      </c>
      <c r="F35" s="24" t="s">
        <v>79</v>
      </c>
      <c r="G35" s="24" t="s">
        <v>82</v>
      </c>
      <c r="H35" s="24" t="s">
        <v>79</v>
      </c>
      <c r="I35" s="24" t="s">
        <v>81</v>
      </c>
      <c r="J35" s="24" t="s">
        <v>79</v>
      </c>
      <c r="K35" s="24" t="s">
        <v>80</v>
      </c>
      <c r="L35" s="24" t="s">
        <v>79</v>
      </c>
      <c r="M35" s="24" t="s">
        <v>78</v>
      </c>
      <c r="N35" s="24" t="s">
        <v>77</v>
      </c>
    </row>
    <row r="36" spans="2:15" ht="15.75" thickBot="1" x14ac:dyDescent="0.3">
      <c r="B36" s="45" t="s">
        <v>105</v>
      </c>
      <c r="C36" s="48" t="s">
        <v>104</v>
      </c>
      <c r="D36" s="44">
        <f>'TABLA GENERAL FASE 1 Y 2'!H162</f>
        <v>19274</v>
      </c>
      <c r="E36" s="47">
        <f>'TABLA GENERAL FASE 1 Y 2'!J162</f>
        <v>0</v>
      </c>
      <c r="F36" s="44">
        <f>E36*D36</f>
        <v>0</v>
      </c>
      <c r="G36" s="47">
        <f>'TABLA GENERAL FASE 1 Y 2'!L162</f>
        <v>0</v>
      </c>
      <c r="H36" s="44">
        <f>G36*D36</f>
        <v>0</v>
      </c>
      <c r="I36" s="47">
        <f>'TABLA GENERAL FASE 1 Y 2'!N162</f>
        <v>0</v>
      </c>
      <c r="J36" s="44">
        <f>I36*D36</f>
        <v>0</v>
      </c>
      <c r="K36" s="47">
        <f>'TABLA GENERAL FASE 1 Y 2'!P162</f>
        <v>1</v>
      </c>
      <c r="L36" s="44">
        <f>K36*D36</f>
        <v>19274</v>
      </c>
      <c r="M36" s="46">
        <f>K36+I36+G36+E36</f>
        <v>1</v>
      </c>
      <c r="N36" s="44">
        <f>L36+J36+H36+F36</f>
        <v>19274</v>
      </c>
    </row>
    <row r="37" spans="2:15" ht="16.5" thickTop="1" thickBot="1" x14ac:dyDescent="0.3">
      <c r="B37" s="43"/>
      <c r="C37" s="23" t="s">
        <v>62</v>
      </c>
      <c r="D37" s="15">
        <v>1.4999999999999999E-2</v>
      </c>
      <c r="E37" s="681"/>
      <c r="F37" s="29">
        <f>$D$37*$D$36*E36</f>
        <v>0</v>
      </c>
      <c r="G37" s="681"/>
      <c r="H37" s="29">
        <f>$D$37*$D$36*G36</f>
        <v>0</v>
      </c>
      <c r="I37" s="681"/>
      <c r="J37" s="29">
        <f>$D$37*$D$36*I36</f>
        <v>0</v>
      </c>
      <c r="K37" s="681"/>
      <c r="L37" s="29">
        <f>$D$37*$D$36*K36</f>
        <v>289.11</v>
      </c>
      <c r="M37" s="42"/>
      <c r="N37" s="41"/>
    </row>
    <row r="38" spans="2:15" ht="15.75" thickBot="1" x14ac:dyDescent="0.3">
      <c r="B38" s="43"/>
      <c r="C38" s="23" t="s">
        <v>60</v>
      </c>
      <c r="D38" s="15">
        <v>0.01</v>
      </c>
      <c r="E38" s="682"/>
      <c r="F38" s="29">
        <f>$D$37*$D$36*E36</f>
        <v>0</v>
      </c>
      <c r="G38" s="682"/>
      <c r="H38" s="29">
        <f>$D$37*$D$36*G36</f>
        <v>0</v>
      </c>
      <c r="I38" s="682"/>
      <c r="J38" s="29">
        <f>$D$37*$D$36*I36</f>
        <v>0</v>
      </c>
      <c r="K38" s="682"/>
      <c r="L38" s="29">
        <f>$D$37*$D$36*K36</f>
        <v>289.11</v>
      </c>
      <c r="M38" s="42"/>
      <c r="N38" s="41"/>
    </row>
    <row r="39" spans="2:15" ht="16.5" thickTop="1" thickBot="1" x14ac:dyDescent="0.3">
      <c r="B39" s="45" t="s">
        <v>103</v>
      </c>
      <c r="C39" s="32" t="s">
        <v>102</v>
      </c>
      <c r="D39" s="44">
        <f>'TABLA GENERAL FASE 1 Y 2'!H163</f>
        <v>13144</v>
      </c>
      <c r="E39" s="15">
        <f>'TABLA GENERAL FASE 1 Y 2'!J163</f>
        <v>0</v>
      </c>
      <c r="F39" s="44">
        <f>E39*D39</f>
        <v>0</v>
      </c>
      <c r="G39" s="15">
        <f>'TABLA GENERAL FASE 1 Y 2'!L163</f>
        <v>0</v>
      </c>
      <c r="H39" s="44">
        <f>G39*D39</f>
        <v>0</v>
      </c>
      <c r="I39" s="15">
        <f>'TABLA GENERAL FASE 1 Y 2'!N163</f>
        <v>0</v>
      </c>
      <c r="J39" s="44">
        <f>I39*D39</f>
        <v>0</v>
      </c>
      <c r="K39" s="15">
        <f>'TABLA GENERAL FASE 1 Y 2'!P163</f>
        <v>4</v>
      </c>
      <c r="L39" s="44">
        <f>K39*D39</f>
        <v>52576</v>
      </c>
      <c r="M39" s="18">
        <f>K39+I39+G39+E39</f>
        <v>4</v>
      </c>
      <c r="N39" s="44">
        <f>L39+J39+H39+F39</f>
        <v>52576</v>
      </c>
    </row>
    <row r="40" spans="2:15" ht="16.5" thickTop="1" thickBot="1" x14ac:dyDescent="0.3">
      <c r="B40" s="43"/>
      <c r="C40" s="23" t="s">
        <v>62</v>
      </c>
      <c r="D40" s="15">
        <v>1.4999999999999999E-2</v>
      </c>
      <c r="E40" s="681"/>
      <c r="F40" s="29">
        <f>$D$40*$D$39*E39</f>
        <v>0</v>
      </c>
      <c r="G40" s="681"/>
      <c r="H40" s="29">
        <f>$D$40*$D$39*G39</f>
        <v>0</v>
      </c>
      <c r="I40" s="681"/>
      <c r="J40" s="29">
        <f>$D$40*$D$39*I39</f>
        <v>0</v>
      </c>
      <c r="K40" s="681"/>
      <c r="L40" s="29">
        <f>$D$40*$D$39*K39</f>
        <v>788.64</v>
      </c>
      <c r="M40" s="42"/>
      <c r="N40" s="41"/>
    </row>
    <row r="41" spans="2:15" ht="15.75" thickBot="1" x14ac:dyDescent="0.3">
      <c r="B41" s="43"/>
      <c r="C41" s="17" t="s">
        <v>60</v>
      </c>
      <c r="D41" s="15">
        <v>0.01</v>
      </c>
      <c r="E41" s="682"/>
      <c r="F41" s="29">
        <f>$D$41*$D$40*E39</f>
        <v>0</v>
      </c>
      <c r="G41" s="682"/>
      <c r="H41" s="29">
        <f>$D$41*$D$40*G39</f>
        <v>0</v>
      </c>
      <c r="I41" s="682"/>
      <c r="J41" s="29">
        <f>$D$41*$D$40*I39</f>
        <v>0</v>
      </c>
      <c r="K41" s="682"/>
      <c r="L41" s="29">
        <f>$D$41*$D$40*K39</f>
        <v>5.9999999999999995E-4</v>
      </c>
      <c r="M41" s="42"/>
      <c r="N41" s="41"/>
    </row>
    <row r="42" spans="2:15" ht="16.5" thickTop="1" thickBot="1" x14ac:dyDescent="0.3">
      <c r="B42" s="45" t="s">
        <v>101</v>
      </c>
      <c r="C42" s="32" t="s">
        <v>100</v>
      </c>
      <c r="D42" s="44">
        <f>'TABLA GENERAL FASE 1 Y 2'!H164</f>
        <v>7500</v>
      </c>
      <c r="E42" s="15">
        <f>'TABLA GENERAL FASE 1 Y 2'!J164</f>
        <v>0</v>
      </c>
      <c r="F42" s="44">
        <f>E42*D42</f>
        <v>0</v>
      </c>
      <c r="G42" s="15">
        <f>'TABLA GENERAL FASE 1 Y 2'!L164</f>
        <v>0</v>
      </c>
      <c r="H42" s="44">
        <f>G42*D42</f>
        <v>0</v>
      </c>
      <c r="I42" s="15">
        <f>'TABLA GENERAL FASE 1 Y 2'!N164</f>
        <v>0</v>
      </c>
      <c r="J42" s="44">
        <f>I42*D42</f>
        <v>0</v>
      </c>
      <c r="K42" s="15">
        <f>'TABLA GENERAL FASE 1 Y 2'!P164</f>
        <v>4</v>
      </c>
      <c r="L42" s="44">
        <f>K42*D42</f>
        <v>30000</v>
      </c>
      <c r="M42" s="18">
        <f>K42+I42+G42+E42</f>
        <v>4</v>
      </c>
      <c r="N42" s="44">
        <f>L42+J42+H42+F42</f>
        <v>30000</v>
      </c>
    </row>
    <row r="43" spans="2:15" ht="16.5" thickTop="1" thickBot="1" x14ac:dyDescent="0.3">
      <c r="B43" s="43"/>
      <c r="C43" s="23" t="s">
        <v>62</v>
      </c>
      <c r="D43" s="15">
        <v>0.02</v>
      </c>
      <c r="E43" s="681"/>
      <c r="F43" s="29">
        <f>$D$43*$D$42*E42</f>
        <v>0</v>
      </c>
      <c r="G43" s="681"/>
      <c r="H43" s="29">
        <f>$D$43*$D$42*G42</f>
        <v>0</v>
      </c>
      <c r="I43" s="681"/>
      <c r="J43" s="29">
        <f>$D$43*$D$42*I42</f>
        <v>0</v>
      </c>
      <c r="K43" s="681"/>
      <c r="L43" s="29">
        <f>$D$43*$D$42*K42</f>
        <v>600</v>
      </c>
      <c r="M43" s="42"/>
      <c r="N43" s="41"/>
    </row>
    <row r="44" spans="2:15" ht="15.75" thickBot="1" x14ac:dyDescent="0.3">
      <c r="B44" s="43"/>
      <c r="C44" s="17" t="s">
        <v>60</v>
      </c>
      <c r="D44" s="15">
        <v>0.01</v>
      </c>
      <c r="E44" s="682"/>
      <c r="F44" s="29">
        <f>$D$44*$D$42*E42</f>
        <v>0</v>
      </c>
      <c r="G44" s="682"/>
      <c r="H44" s="29">
        <f>$D$44*$D$42*G42</f>
        <v>0</v>
      </c>
      <c r="I44" s="682"/>
      <c r="J44" s="29">
        <f>$D$44*$D$42*I42</f>
        <v>0</v>
      </c>
      <c r="K44" s="682"/>
      <c r="L44" s="29">
        <f>$D$44*$D$42*K42</f>
        <v>300</v>
      </c>
      <c r="M44" s="42"/>
      <c r="N44" s="41"/>
    </row>
    <row r="45" spans="2:15" ht="16.5" thickTop="1" thickBot="1" x14ac:dyDescent="0.3">
      <c r="B45" s="45" t="s">
        <v>99</v>
      </c>
      <c r="C45" s="32" t="s">
        <v>98</v>
      </c>
      <c r="D45" s="44">
        <f>'TABLA GENERAL FASE 1 Y 2'!H165</f>
        <v>8750</v>
      </c>
      <c r="E45" s="15">
        <f>'TABLA GENERAL FASE 1 Y 2'!J165</f>
        <v>0</v>
      </c>
      <c r="F45" s="44">
        <f>E45*D45</f>
        <v>0</v>
      </c>
      <c r="G45" s="15">
        <f>'TABLA GENERAL FASE 1 Y 2'!L165</f>
        <v>0</v>
      </c>
      <c r="H45" s="44">
        <f>G45*D45</f>
        <v>0</v>
      </c>
      <c r="I45" s="15">
        <f>'TABLA GENERAL FASE 1 Y 2'!N165</f>
        <v>0</v>
      </c>
      <c r="J45" s="44">
        <f>I45*D45</f>
        <v>0</v>
      </c>
      <c r="K45" s="15">
        <f>'TABLA GENERAL FASE 1 Y 2'!P165</f>
        <v>1</v>
      </c>
      <c r="L45" s="44">
        <f>K45*D45</f>
        <v>8750</v>
      </c>
      <c r="M45" s="18">
        <f>K45+I45+G45+E45</f>
        <v>1</v>
      </c>
      <c r="N45" s="44">
        <f>L45+J45+H45+F45</f>
        <v>8750</v>
      </c>
    </row>
    <row r="46" spans="2:15" ht="16.5" thickTop="1" thickBot="1" x14ac:dyDescent="0.3">
      <c r="B46" s="43"/>
      <c r="C46" s="23" t="s">
        <v>62</v>
      </c>
      <c r="D46" s="15">
        <v>0.02</v>
      </c>
      <c r="E46" s="681"/>
      <c r="F46" s="29">
        <f>$D$46*$D$45*E45</f>
        <v>0</v>
      </c>
      <c r="G46" s="681"/>
      <c r="H46" s="29">
        <f>$D$46*$D$45*G45</f>
        <v>0</v>
      </c>
      <c r="I46" s="681"/>
      <c r="J46" s="29">
        <f>$D$46*$D$45*I45</f>
        <v>0</v>
      </c>
      <c r="K46" s="681"/>
      <c r="L46" s="29">
        <f>$D$46*$D$45*K45</f>
        <v>175</v>
      </c>
      <c r="M46" s="42"/>
      <c r="N46" s="41"/>
    </row>
    <row r="47" spans="2:15" ht="15.75" thickBot="1" x14ac:dyDescent="0.3">
      <c r="B47" s="40"/>
      <c r="C47" s="39" t="s">
        <v>60</v>
      </c>
      <c r="D47" s="15">
        <v>0.01</v>
      </c>
      <c r="E47" s="687"/>
      <c r="F47" s="29">
        <f>$D$47*$D$45*E45</f>
        <v>0</v>
      </c>
      <c r="G47" s="687"/>
      <c r="H47" s="29">
        <f>$D$47*$D$45*G45</f>
        <v>0</v>
      </c>
      <c r="I47" s="687"/>
      <c r="J47" s="29">
        <f>$D$47*$D$45*I45</f>
        <v>0</v>
      </c>
      <c r="K47" s="687"/>
      <c r="L47" s="29">
        <f>$D$47*$D$45*K45</f>
        <v>87.5</v>
      </c>
      <c r="M47" s="38"/>
      <c r="N47" s="37"/>
    </row>
    <row r="48" spans="2:15" x14ac:dyDescent="0.25">
      <c r="B48" s="36"/>
      <c r="C48" s="36"/>
      <c r="D48" s="36">
        <v>2021</v>
      </c>
      <c r="E48" s="35">
        <v>1</v>
      </c>
      <c r="F48" s="34">
        <f>F37+F38+F40+F41+F43+F44+F46+F47</f>
        <v>0</v>
      </c>
      <c r="G48" s="36">
        <v>2022</v>
      </c>
      <c r="H48" s="34">
        <f>I37+I38+I40+I41+I43+I44+I46+I47</f>
        <v>0</v>
      </c>
      <c r="I48" s="36">
        <v>2023</v>
      </c>
      <c r="J48" s="34">
        <f>K37+K38+K40+K41+K43+K44+K46+K47</f>
        <v>0</v>
      </c>
      <c r="K48" s="36">
        <v>2025</v>
      </c>
      <c r="L48" s="34">
        <f>L37+L38+L40+L41+L43+L44+L46+L47</f>
        <v>2529.3606</v>
      </c>
      <c r="M48" s="36"/>
      <c r="N48" s="35"/>
      <c r="O48" s="34"/>
    </row>
    <row r="49" spans="2:29" x14ac:dyDescent="0.25">
      <c r="B49" s="36"/>
      <c r="C49" s="36"/>
      <c r="D49" s="36"/>
      <c r="E49" s="35">
        <v>2</v>
      </c>
      <c r="F49" s="34">
        <f>F34+F38</f>
        <v>0</v>
      </c>
      <c r="G49" s="36"/>
      <c r="H49" s="34">
        <f>I34+I38</f>
        <v>0</v>
      </c>
      <c r="J49" s="34">
        <f>K34+K38</f>
        <v>0</v>
      </c>
      <c r="K49" s="35"/>
      <c r="L49" s="34">
        <f>L34+L38</f>
        <v>289.11</v>
      </c>
      <c r="M49" s="36"/>
      <c r="N49" s="35"/>
      <c r="O49" s="34"/>
    </row>
    <row r="51" spans="2:29" x14ac:dyDescent="0.25">
      <c r="C51" s="221">
        <v>2021</v>
      </c>
      <c r="D51" s="221">
        <v>2022</v>
      </c>
      <c r="E51" s="221">
        <v>2023</v>
      </c>
      <c r="F51" s="221">
        <v>2024</v>
      </c>
      <c r="G51" s="221">
        <v>2025</v>
      </c>
      <c r="H51" s="221">
        <v>2026</v>
      </c>
      <c r="I51" s="221">
        <v>2027</v>
      </c>
      <c r="J51" s="221">
        <v>2028</v>
      </c>
      <c r="K51" s="221">
        <v>2029</v>
      </c>
      <c r="L51" s="221">
        <v>2030</v>
      </c>
      <c r="M51" s="221">
        <v>2031</v>
      </c>
      <c r="N51" s="221">
        <v>2032</v>
      </c>
      <c r="O51" s="221">
        <v>2033</v>
      </c>
      <c r="P51" s="221">
        <v>2034</v>
      </c>
      <c r="Q51" s="221">
        <v>2035</v>
      </c>
      <c r="R51" s="221">
        <v>2036</v>
      </c>
      <c r="S51" s="221">
        <v>2037</v>
      </c>
      <c r="T51" s="221">
        <v>2038</v>
      </c>
      <c r="U51" s="221">
        <v>2039</v>
      </c>
      <c r="V51" s="221">
        <v>2040</v>
      </c>
      <c r="W51" s="221">
        <v>2041</v>
      </c>
      <c r="X51" s="221">
        <v>2042</v>
      </c>
      <c r="Y51" s="221">
        <v>2043</v>
      </c>
      <c r="Z51" s="221">
        <v>2044</v>
      </c>
      <c r="AA51" s="221">
        <v>2045</v>
      </c>
      <c r="AB51" s="221">
        <v>2046</v>
      </c>
    </row>
    <row r="52" spans="2:29" x14ac:dyDescent="0.25">
      <c r="B52" s="7" t="s">
        <v>41</v>
      </c>
      <c r="C52" s="221" t="s">
        <v>59</v>
      </c>
      <c r="D52" s="221" t="s">
        <v>40</v>
      </c>
      <c r="E52" s="221" t="s">
        <v>39</v>
      </c>
      <c r="F52" s="221" t="s">
        <v>38</v>
      </c>
      <c r="G52" s="221" t="s">
        <v>58</v>
      </c>
      <c r="H52" s="221" t="s">
        <v>36</v>
      </c>
      <c r="I52" s="221" t="s">
        <v>35</v>
      </c>
      <c r="J52" s="221" t="s">
        <v>34</v>
      </c>
      <c r="K52" s="221" t="s">
        <v>33</v>
      </c>
      <c r="L52" s="221" t="s">
        <v>32</v>
      </c>
      <c r="M52" s="221" t="s">
        <v>31</v>
      </c>
      <c r="N52" s="221" t="s">
        <v>30</v>
      </c>
      <c r="O52" s="221" t="s">
        <v>57</v>
      </c>
      <c r="P52" s="221" t="s">
        <v>56</v>
      </c>
      <c r="Q52" s="221" t="s">
        <v>27</v>
      </c>
      <c r="R52" s="221" t="s">
        <v>55</v>
      </c>
      <c r="S52" s="221" t="s">
        <v>54</v>
      </c>
      <c r="T52" s="221" t="s">
        <v>24</v>
      </c>
      <c r="U52" s="221" t="s">
        <v>23</v>
      </c>
      <c r="V52" s="221" t="s">
        <v>53</v>
      </c>
      <c r="W52" s="221" t="s">
        <v>21</v>
      </c>
      <c r="X52" s="221" t="s">
        <v>52</v>
      </c>
      <c r="Y52" s="221" t="s">
        <v>51</v>
      </c>
      <c r="Z52" s="221" t="s">
        <v>50</v>
      </c>
      <c r="AA52" s="221" t="s">
        <v>49</v>
      </c>
      <c r="AB52" s="224" t="s">
        <v>97</v>
      </c>
    </row>
    <row r="53" spans="2:29" ht="30.75" thickBot="1" x14ac:dyDescent="0.3">
      <c r="B53" s="5" t="s">
        <v>95</v>
      </c>
      <c r="C53" s="3"/>
      <c r="D53" s="3"/>
      <c r="E53" s="3"/>
      <c r="F53" s="3"/>
      <c r="G53" s="3"/>
      <c r="H53" s="3">
        <f t="shared" ref="H53:AB53" si="3">$L$49+$L$48</f>
        <v>2818.4706000000001</v>
      </c>
      <c r="I53" s="3">
        <f t="shared" si="3"/>
        <v>2818.4706000000001</v>
      </c>
      <c r="J53" s="3">
        <f t="shared" si="3"/>
        <v>2818.4706000000001</v>
      </c>
      <c r="K53" s="3">
        <f t="shared" si="3"/>
        <v>2818.4706000000001</v>
      </c>
      <c r="L53" s="3">
        <f t="shared" si="3"/>
        <v>2818.4706000000001</v>
      </c>
      <c r="M53" s="3">
        <f t="shared" si="3"/>
        <v>2818.4706000000001</v>
      </c>
      <c r="N53" s="3">
        <f t="shared" si="3"/>
        <v>2818.4706000000001</v>
      </c>
      <c r="O53" s="3">
        <f t="shared" si="3"/>
        <v>2818.4706000000001</v>
      </c>
      <c r="P53" s="3">
        <f t="shared" si="3"/>
        <v>2818.4706000000001</v>
      </c>
      <c r="Q53" s="3">
        <f t="shared" si="3"/>
        <v>2818.4706000000001</v>
      </c>
      <c r="R53" s="3">
        <f t="shared" si="3"/>
        <v>2818.4706000000001</v>
      </c>
      <c r="S53" s="3">
        <f t="shared" si="3"/>
        <v>2818.4706000000001</v>
      </c>
      <c r="T53" s="3">
        <f t="shared" si="3"/>
        <v>2818.4706000000001</v>
      </c>
      <c r="U53" s="3">
        <f t="shared" si="3"/>
        <v>2818.4706000000001</v>
      </c>
      <c r="V53" s="3">
        <f t="shared" si="3"/>
        <v>2818.4706000000001</v>
      </c>
      <c r="W53" s="3">
        <f t="shared" si="3"/>
        <v>2818.4706000000001</v>
      </c>
      <c r="X53" s="3">
        <f t="shared" si="3"/>
        <v>2818.4706000000001</v>
      </c>
      <c r="Y53" s="3">
        <f t="shared" si="3"/>
        <v>2818.4706000000001</v>
      </c>
      <c r="Z53" s="3">
        <f t="shared" si="3"/>
        <v>2818.4706000000001</v>
      </c>
      <c r="AA53" s="3">
        <f t="shared" si="3"/>
        <v>2818.4706000000001</v>
      </c>
      <c r="AB53" s="225">
        <f t="shared" si="3"/>
        <v>2818.4706000000001</v>
      </c>
    </row>
    <row r="54" spans="2:29" ht="15.75" thickBot="1" x14ac:dyDescent="0.3">
      <c r="AC54" s="227"/>
    </row>
    <row r="55" spans="2:29" ht="15.75" thickBot="1" x14ac:dyDescent="0.3">
      <c r="AC55" s="228"/>
    </row>
  </sheetData>
  <mergeCells count="46">
    <mergeCell ref="E16:E17"/>
    <mergeCell ref="G16:G17"/>
    <mergeCell ref="I16:I17"/>
    <mergeCell ref="K16:K17"/>
    <mergeCell ref="M16:M17"/>
    <mergeCell ref="E19:E20"/>
    <mergeCell ref="G19:G20"/>
    <mergeCell ref="I19:I20"/>
    <mergeCell ref="K19:K20"/>
    <mergeCell ref="M19:M20"/>
    <mergeCell ref="E12:E14"/>
    <mergeCell ref="G12:G14"/>
    <mergeCell ref="I12:I14"/>
    <mergeCell ref="K12:K14"/>
    <mergeCell ref="M12:M14"/>
    <mergeCell ref="I37:I38"/>
    <mergeCell ref="E22:E23"/>
    <mergeCell ref="G22:G23"/>
    <mergeCell ref="I22:I23"/>
    <mergeCell ref="K22:K23"/>
    <mergeCell ref="M5:M6"/>
    <mergeCell ref="E8:E10"/>
    <mergeCell ref="G8:G10"/>
    <mergeCell ref="I8:I10"/>
    <mergeCell ref="K8:K10"/>
    <mergeCell ref="E5:E6"/>
    <mergeCell ref="G5:G6"/>
    <mergeCell ref="I5:I6"/>
    <mergeCell ref="K5:K6"/>
    <mergeCell ref="M8:M10"/>
    <mergeCell ref="M22:M23"/>
    <mergeCell ref="E46:E47"/>
    <mergeCell ref="G46:G47"/>
    <mergeCell ref="I46:I47"/>
    <mergeCell ref="K46:K47"/>
    <mergeCell ref="E37:E38"/>
    <mergeCell ref="E43:E44"/>
    <mergeCell ref="G43:G44"/>
    <mergeCell ref="I43:I44"/>
    <mergeCell ref="K43:K44"/>
    <mergeCell ref="K37:K38"/>
    <mergeCell ref="E40:E41"/>
    <mergeCell ref="G40:G41"/>
    <mergeCell ref="I40:I41"/>
    <mergeCell ref="K40:K41"/>
    <mergeCell ref="G37:G38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X114"/>
  <sheetViews>
    <sheetView topLeftCell="A10" zoomScale="90" zoomScaleNormal="90" workbookViewId="0">
      <selection activeCell="C27" sqref="C27"/>
    </sheetView>
  </sheetViews>
  <sheetFormatPr baseColWidth="10" defaultRowHeight="15" x14ac:dyDescent="0.25"/>
  <cols>
    <col min="1" max="1" width="28.28515625" customWidth="1"/>
    <col min="2" max="2" width="6.7109375" bestFit="1" customWidth="1"/>
    <col min="3" max="3" width="36.42578125" bestFit="1" customWidth="1"/>
    <col min="4" max="5" width="12.42578125" bestFit="1" customWidth="1"/>
    <col min="6" max="6" width="14" bestFit="1" customWidth="1"/>
    <col min="7" max="9" width="13.28515625" bestFit="1" customWidth="1"/>
    <col min="10" max="10" width="14.7109375" bestFit="1" customWidth="1"/>
    <col min="11" max="11" width="13.28515625" bestFit="1" customWidth="1"/>
    <col min="12" max="12" width="14.7109375" bestFit="1" customWidth="1"/>
    <col min="13" max="23" width="13.28515625" bestFit="1" customWidth="1"/>
    <col min="24" max="24" width="14.7109375" style="229" bestFit="1" customWidth="1"/>
  </cols>
  <sheetData>
    <row r="3" spans="2:14" thickBot="1" x14ac:dyDescent="0.35"/>
    <row r="4" spans="2:14" ht="50.25" thickBot="1" x14ac:dyDescent="0.3">
      <c r="B4" s="24"/>
      <c r="C4" s="24" t="s">
        <v>122</v>
      </c>
      <c r="D4" s="24" t="s">
        <v>123</v>
      </c>
      <c r="E4" s="24">
        <v>2021</v>
      </c>
      <c r="F4" s="24" t="s">
        <v>79</v>
      </c>
      <c r="G4" s="24">
        <v>2022</v>
      </c>
      <c r="H4" s="24" t="s">
        <v>79</v>
      </c>
      <c r="I4" s="24">
        <v>2023</v>
      </c>
      <c r="J4" s="24" t="s">
        <v>79</v>
      </c>
      <c r="K4" s="24">
        <v>2025</v>
      </c>
      <c r="L4" s="24" t="s">
        <v>79</v>
      </c>
      <c r="M4" s="24" t="s">
        <v>124</v>
      </c>
      <c r="N4" s="24" t="s">
        <v>77</v>
      </c>
    </row>
    <row r="5" spans="2:14" ht="16.5" thickTop="1" thickBot="1" x14ac:dyDescent="0.3">
      <c r="B5" s="58" t="s">
        <v>125</v>
      </c>
      <c r="C5" s="21" t="s">
        <v>126</v>
      </c>
      <c r="D5" s="59">
        <f>'TABLA GENERAL FASE 1 Y 2'!H173</f>
        <v>8540</v>
      </c>
      <c r="E5" s="51">
        <f>'TABLA GENERAL FASE 1 Y 2'!J173</f>
        <v>0</v>
      </c>
      <c r="F5" s="60">
        <v>0</v>
      </c>
      <c r="G5" s="15">
        <f>'TABLA GENERAL FASE 1 Y 2'!L173</f>
        <v>0</v>
      </c>
      <c r="H5" s="60">
        <v>0</v>
      </c>
      <c r="I5" s="15">
        <f>'TABLA GENERAL FASE 1 Y 2'!N173</f>
        <v>0</v>
      </c>
      <c r="J5" s="60">
        <v>0</v>
      </c>
      <c r="K5" s="15">
        <f>'TABLA GENERAL FASE 1 Y 2'!P173</f>
        <v>1</v>
      </c>
      <c r="L5" s="60">
        <v>8540</v>
      </c>
      <c r="M5" s="18">
        <v>1</v>
      </c>
      <c r="N5" s="61">
        <v>8540</v>
      </c>
    </row>
    <row r="6" spans="2:14" ht="24.75" x14ac:dyDescent="0.25">
      <c r="B6" s="62" t="s">
        <v>63</v>
      </c>
      <c r="C6" s="63" t="s">
        <v>62</v>
      </c>
      <c r="D6" s="15">
        <v>4.0000000000000001E-3</v>
      </c>
      <c r="E6" s="681"/>
      <c r="F6" s="29">
        <f>$D$6*$D$5*E5</f>
        <v>0</v>
      </c>
      <c r="G6" s="681"/>
      <c r="H6" s="29">
        <f>$D$6*$D$5*G5</f>
        <v>0</v>
      </c>
      <c r="I6" s="681"/>
      <c r="J6" s="29">
        <f>$D$6*$D$5*I5</f>
        <v>0</v>
      </c>
      <c r="K6" s="681"/>
      <c r="L6" s="29">
        <f>$D$6*$D$5*K5</f>
        <v>34.160000000000004</v>
      </c>
      <c r="M6" s="681"/>
      <c r="N6" s="54" t="s">
        <v>118</v>
      </c>
    </row>
    <row r="7" spans="2:14" x14ac:dyDescent="0.25">
      <c r="B7" s="62" t="s">
        <v>61</v>
      </c>
      <c r="C7" s="16" t="s">
        <v>60</v>
      </c>
      <c r="D7" s="15">
        <v>4.0000000000000001E-3</v>
      </c>
      <c r="E7" s="682"/>
      <c r="F7" s="29">
        <f>$D$7*$D$5*E5</f>
        <v>0</v>
      </c>
      <c r="G7" s="682"/>
      <c r="H7" s="29">
        <f>$D$7*$D$5*G5</f>
        <v>0</v>
      </c>
      <c r="I7" s="682"/>
      <c r="J7" s="29">
        <f>$D$7*$D$5*I5</f>
        <v>0</v>
      </c>
      <c r="K7" s="682"/>
      <c r="L7" s="29">
        <f>$D$7*$D$5*K5</f>
        <v>34.160000000000004</v>
      </c>
      <c r="M7" s="682"/>
      <c r="N7" s="54"/>
    </row>
    <row r="8" spans="2:14" ht="15.75" thickBot="1" x14ac:dyDescent="0.3">
      <c r="B8" s="64" t="s">
        <v>67</v>
      </c>
      <c r="C8" s="16" t="s">
        <v>127</v>
      </c>
      <c r="D8" s="15">
        <v>0.01</v>
      </c>
      <c r="E8" s="65"/>
      <c r="F8" s="29">
        <f>$D$8*$D$5*E5</f>
        <v>0</v>
      </c>
      <c r="G8" s="65"/>
      <c r="H8" s="29">
        <f>$D$8*$D$5*G5</f>
        <v>0</v>
      </c>
      <c r="I8" s="65"/>
      <c r="J8" s="29">
        <f>$D$8*$D$5*I5</f>
        <v>0</v>
      </c>
      <c r="K8" s="65"/>
      <c r="L8" s="29">
        <f>$D$8*$D$5*K5</f>
        <v>85.4</v>
      </c>
      <c r="M8" s="36"/>
      <c r="N8" s="66"/>
    </row>
    <row r="9" spans="2:14" ht="61.5" thickTop="1" thickBot="1" x14ac:dyDescent="0.3">
      <c r="B9" s="58" t="s">
        <v>128</v>
      </c>
      <c r="C9" s="21" t="s">
        <v>129</v>
      </c>
      <c r="D9" s="59">
        <f>'TABLA GENERAL FASE 1 Y 2'!H174</f>
        <v>244998.75</v>
      </c>
      <c r="E9" s="51">
        <f>'TABLA GENERAL FASE 1 Y 2'!J174</f>
        <v>0</v>
      </c>
      <c r="F9" s="60">
        <v>0</v>
      </c>
      <c r="G9" s="15">
        <f>'TABLA GENERAL FASE 1 Y 2'!L174</f>
        <v>1</v>
      </c>
      <c r="H9" s="60">
        <v>102286</v>
      </c>
      <c r="I9" s="15">
        <f>'TABLA GENERAL FASE 1 Y 2'!N174</f>
        <v>1</v>
      </c>
      <c r="J9" s="60">
        <v>102286</v>
      </c>
      <c r="K9" s="15">
        <f>'TABLA GENERAL FASE 1 Y 2'!P174</f>
        <v>0</v>
      </c>
      <c r="L9" s="60">
        <v>0</v>
      </c>
      <c r="M9" s="18">
        <v>2</v>
      </c>
      <c r="N9" s="61">
        <v>204572</v>
      </c>
    </row>
    <row r="10" spans="2:14" ht="24.75" x14ac:dyDescent="0.25">
      <c r="B10" s="62" t="s">
        <v>63</v>
      </c>
      <c r="C10" s="63" t="s">
        <v>62</v>
      </c>
      <c r="D10" s="15">
        <v>4.0000000000000001E-3</v>
      </c>
      <c r="E10" s="681"/>
      <c r="F10" s="29">
        <f>$D$10*$D$9*E9</f>
        <v>0</v>
      </c>
      <c r="G10" s="681"/>
      <c r="H10" s="29">
        <f>$D$10*$D$9*G9</f>
        <v>979.995</v>
      </c>
      <c r="I10" s="681"/>
      <c r="J10" s="29">
        <f>$D$10*$D$9*I9</f>
        <v>979.995</v>
      </c>
      <c r="K10" s="681"/>
      <c r="L10" s="29">
        <f>$D$10*$D$9*K9</f>
        <v>0</v>
      </c>
      <c r="M10" s="681"/>
      <c r="N10" s="54" t="s">
        <v>118</v>
      </c>
    </row>
    <row r="11" spans="2:14" x14ac:dyDescent="0.25">
      <c r="B11" s="62" t="s">
        <v>61</v>
      </c>
      <c r="C11" s="16" t="s">
        <v>60</v>
      </c>
      <c r="D11" s="15">
        <v>4.0000000000000001E-3</v>
      </c>
      <c r="E11" s="682"/>
      <c r="F11" s="29">
        <f>$D$11*$D$9*E9</f>
        <v>0</v>
      </c>
      <c r="G11" s="682"/>
      <c r="H11" s="29">
        <f>$D$11*$D$9*G9</f>
        <v>979.995</v>
      </c>
      <c r="I11" s="682"/>
      <c r="J11" s="29">
        <f>$D$11*$D$9*I9</f>
        <v>979.995</v>
      </c>
      <c r="K11" s="682"/>
      <c r="L11" s="29">
        <f>$D$11*$D$9*K9</f>
        <v>0</v>
      </c>
      <c r="M11" s="682"/>
      <c r="N11" s="54"/>
    </row>
    <row r="12" spans="2:14" ht="15.75" thickBot="1" x14ac:dyDescent="0.3">
      <c r="B12" s="64" t="s">
        <v>67</v>
      </c>
      <c r="C12" s="16" t="s">
        <v>127</v>
      </c>
      <c r="D12" s="15">
        <v>0.01</v>
      </c>
      <c r="E12" s="65"/>
      <c r="F12" s="29">
        <f>$D$12*$D$9*E9</f>
        <v>0</v>
      </c>
      <c r="G12" s="65"/>
      <c r="H12" s="29">
        <f>$D$12*$D$9*G9</f>
        <v>2449.9875000000002</v>
      </c>
      <c r="I12" s="65"/>
      <c r="J12" s="29">
        <f>$D$12*$D$9*I9</f>
        <v>2449.9875000000002</v>
      </c>
      <c r="K12" s="65"/>
      <c r="L12" s="29">
        <f>$D$12*$D$9*K9</f>
        <v>0</v>
      </c>
      <c r="M12" s="36"/>
      <c r="N12" s="66"/>
    </row>
    <row r="13" spans="2:14" ht="46.5" thickTop="1" thickBot="1" x14ac:dyDescent="0.3">
      <c r="B13" s="58" t="s">
        <v>130</v>
      </c>
      <c r="C13" s="21" t="s">
        <v>131</v>
      </c>
      <c r="D13" s="59">
        <f>'TABLA GENERAL FASE 1 Y 2'!H175</f>
        <v>54499</v>
      </c>
      <c r="E13" s="51">
        <f>'TABLA GENERAL FASE 1 Y 2'!J175</f>
        <v>0</v>
      </c>
      <c r="F13" s="60">
        <v>0</v>
      </c>
      <c r="G13" s="15">
        <f>'TABLA GENERAL FASE 1 Y 2'!L175</f>
        <v>0</v>
      </c>
      <c r="H13" s="60">
        <v>0</v>
      </c>
      <c r="I13" s="15">
        <f>'TABLA GENERAL FASE 1 Y 2'!N175</f>
        <v>2</v>
      </c>
      <c r="J13" s="60">
        <v>57062</v>
      </c>
      <c r="K13" s="15">
        <f>'TABLA GENERAL FASE 1 Y 2'!P175</f>
        <v>0</v>
      </c>
      <c r="L13" s="60">
        <v>0</v>
      </c>
      <c r="M13" s="18">
        <v>2</v>
      </c>
      <c r="N13" s="61">
        <v>57062</v>
      </c>
    </row>
    <row r="14" spans="2:14" ht="24.75" x14ac:dyDescent="0.25">
      <c r="B14" s="62" t="s">
        <v>63</v>
      </c>
      <c r="C14" s="63" t="s">
        <v>62</v>
      </c>
      <c r="D14" s="15">
        <v>4.0000000000000001E-3</v>
      </c>
      <c r="E14" s="681"/>
      <c r="F14" s="29">
        <f>$D$14*$D$13*E13</f>
        <v>0</v>
      </c>
      <c r="G14" s="681"/>
      <c r="H14" s="29">
        <f>$D$14*$D$13*G13</f>
        <v>0</v>
      </c>
      <c r="I14" s="681"/>
      <c r="J14" s="29">
        <f>$D$14*$D$13*I13</f>
        <v>435.99200000000002</v>
      </c>
      <c r="K14" s="681"/>
      <c r="L14" s="29">
        <f>$D$14*$D$13*K13</f>
        <v>0</v>
      </c>
      <c r="M14" s="681"/>
      <c r="N14" s="54" t="s">
        <v>118</v>
      </c>
    </row>
    <row r="15" spans="2:14" x14ac:dyDescent="0.25">
      <c r="B15" s="62" t="s">
        <v>61</v>
      </c>
      <c r="C15" s="16" t="s">
        <v>60</v>
      </c>
      <c r="D15" s="15">
        <v>4.0000000000000001E-3</v>
      </c>
      <c r="E15" s="682"/>
      <c r="F15" s="29">
        <f>$D$15*$D$13*E13</f>
        <v>0</v>
      </c>
      <c r="G15" s="682"/>
      <c r="H15" s="29">
        <f>$D$15*$D$13*G13</f>
        <v>0</v>
      </c>
      <c r="I15" s="682"/>
      <c r="J15" s="29">
        <f>$D$15*$D$13*I13</f>
        <v>435.99200000000002</v>
      </c>
      <c r="K15" s="682"/>
      <c r="L15" s="29">
        <f>$D$15*$D$13*K13</f>
        <v>0</v>
      </c>
      <c r="M15" s="682"/>
      <c r="N15" s="54"/>
    </row>
    <row r="16" spans="2:14" ht="15.75" thickBot="1" x14ac:dyDescent="0.3">
      <c r="B16" s="64" t="s">
        <v>67</v>
      </c>
      <c r="C16" s="16" t="s">
        <v>127</v>
      </c>
      <c r="D16" s="15">
        <v>0.01</v>
      </c>
      <c r="E16" s="65"/>
      <c r="F16" s="29">
        <f>$D$16*$D$13*E13</f>
        <v>0</v>
      </c>
      <c r="G16" s="65"/>
      <c r="H16" s="29">
        <f>$D$16*$D$13*G13</f>
        <v>0</v>
      </c>
      <c r="I16" s="65"/>
      <c r="J16" s="29">
        <f>$D$16*$D$13*I13</f>
        <v>1089.98</v>
      </c>
      <c r="K16" s="65"/>
      <c r="L16" s="29">
        <f>$D$16*$D$13*K13</f>
        <v>0</v>
      </c>
      <c r="M16" s="36"/>
      <c r="N16" s="66"/>
    </row>
    <row r="17" spans="2:24" ht="46.5" thickTop="1" thickBot="1" x14ac:dyDescent="0.3">
      <c r="B17" s="58" t="s">
        <v>132</v>
      </c>
      <c r="C17" s="21" t="s">
        <v>133</v>
      </c>
      <c r="D17" s="59">
        <f>'TABLA GENERAL FASE 1 Y 2'!H176</f>
        <v>57249</v>
      </c>
      <c r="E17" s="51">
        <v>0</v>
      </c>
      <c r="F17" s="60">
        <v>0</v>
      </c>
      <c r="G17" s="15">
        <v>1</v>
      </c>
      <c r="H17" s="60">
        <v>61207</v>
      </c>
      <c r="I17" s="15">
        <v>3</v>
      </c>
      <c r="J17" s="60">
        <v>183621</v>
      </c>
      <c r="K17" s="15">
        <v>0</v>
      </c>
      <c r="L17" s="60">
        <v>0</v>
      </c>
      <c r="M17" s="18">
        <v>4</v>
      </c>
      <c r="N17" s="61">
        <v>244828</v>
      </c>
    </row>
    <row r="18" spans="2:24" ht="24.75" x14ac:dyDescent="0.25">
      <c r="B18" s="62" t="s">
        <v>63</v>
      </c>
      <c r="C18" s="63" t="s">
        <v>62</v>
      </c>
      <c r="D18" s="15">
        <v>4.0000000000000001E-3</v>
      </c>
      <c r="E18" s="681"/>
      <c r="F18" s="29">
        <f>$D$18*$D$17*E17</f>
        <v>0</v>
      </c>
      <c r="G18" s="681"/>
      <c r="H18" s="29">
        <f>$D$18*$D$17*G17</f>
        <v>228.99600000000001</v>
      </c>
      <c r="I18" s="681"/>
      <c r="J18" s="29">
        <f>$D$18*$D$17*I17</f>
        <v>686.98800000000006</v>
      </c>
      <c r="K18" s="681"/>
      <c r="L18" s="29">
        <f>$D$18*$D$17*K17</f>
        <v>0</v>
      </c>
      <c r="M18" s="681"/>
      <c r="N18" s="54" t="s">
        <v>118</v>
      </c>
    </row>
    <row r="19" spans="2:24" x14ac:dyDescent="0.25">
      <c r="B19" s="62" t="s">
        <v>61</v>
      </c>
      <c r="C19" s="16" t="s">
        <v>60</v>
      </c>
      <c r="D19" s="15">
        <v>4.0000000000000001E-3</v>
      </c>
      <c r="E19" s="682"/>
      <c r="F19" s="29">
        <f>$D$19*$D$17*E17</f>
        <v>0</v>
      </c>
      <c r="G19" s="682"/>
      <c r="H19" s="29">
        <f>$D$19*$D$17*G17</f>
        <v>228.99600000000001</v>
      </c>
      <c r="I19" s="682"/>
      <c r="J19" s="29">
        <f>$D$19*$D$17*I17</f>
        <v>686.98800000000006</v>
      </c>
      <c r="K19" s="682"/>
      <c r="L19" s="29">
        <f>$D$19*$D$17*K17</f>
        <v>0</v>
      </c>
      <c r="M19" s="682"/>
      <c r="N19" s="54"/>
    </row>
    <row r="20" spans="2:24" ht="15.75" thickBot="1" x14ac:dyDescent="0.3">
      <c r="B20" s="67" t="s">
        <v>67</v>
      </c>
      <c r="C20" s="52" t="s">
        <v>127</v>
      </c>
      <c r="D20" s="51">
        <v>0.01</v>
      </c>
      <c r="E20" s="68"/>
      <c r="F20" s="69">
        <f>$D$20*$D$17*E17</f>
        <v>0</v>
      </c>
      <c r="G20" s="68"/>
      <c r="H20" s="69">
        <f>$D$20*$D$17*G17</f>
        <v>572.49</v>
      </c>
      <c r="I20" s="68"/>
      <c r="J20" s="69">
        <f>$D$20*$D$17*I17</f>
        <v>1717.47</v>
      </c>
      <c r="K20" s="68"/>
      <c r="L20" s="69">
        <f>$D$20*$D$17*K17</f>
        <v>0</v>
      </c>
      <c r="M20" s="68"/>
      <c r="N20" s="70"/>
    </row>
    <row r="21" spans="2:24" ht="14.45" x14ac:dyDescent="0.3">
      <c r="D21" s="28">
        <v>2021</v>
      </c>
      <c r="E21">
        <v>1</v>
      </c>
      <c r="F21" s="27">
        <f>F19+F18+F15+F14+F11+F10+F7+F6</f>
        <v>0</v>
      </c>
      <c r="G21">
        <v>2022</v>
      </c>
      <c r="H21" s="27">
        <f>H19+H18+H15+H14+H11+H10+H7+H6</f>
        <v>2417.982</v>
      </c>
      <c r="I21">
        <v>2023</v>
      </c>
      <c r="J21" s="27">
        <f>J19+J18+J15+J14+J11+J10+J7+J6</f>
        <v>4205.95</v>
      </c>
      <c r="K21">
        <v>2025</v>
      </c>
      <c r="L21" s="27">
        <f>L19+L18+L15+L14+L11+L10+L7+L6</f>
        <v>68.320000000000007</v>
      </c>
    </row>
    <row r="22" spans="2:24" ht="14.45" x14ac:dyDescent="0.3">
      <c r="E22">
        <v>2</v>
      </c>
      <c r="F22" s="27">
        <f>F20+F16+F12+F8</f>
        <v>0</v>
      </c>
      <c r="H22" s="27">
        <f>H20+H16+H12+H8</f>
        <v>3022.4775</v>
      </c>
      <c r="J22" s="27">
        <f>J20+J16+J12+J8</f>
        <v>5257.4375</v>
      </c>
      <c r="L22" s="27">
        <f>L20+L16+L12+L8</f>
        <v>85.4</v>
      </c>
    </row>
    <row r="24" spans="2:24" ht="14.45" x14ac:dyDescent="0.3">
      <c r="D24" s="221">
        <v>2021</v>
      </c>
      <c r="E24" s="221">
        <v>2022</v>
      </c>
      <c r="F24" s="221">
        <v>2023</v>
      </c>
      <c r="G24" s="221">
        <v>2024</v>
      </c>
      <c r="H24" s="221">
        <v>2025</v>
      </c>
      <c r="I24" s="221">
        <v>2026</v>
      </c>
      <c r="J24" s="221">
        <v>2027</v>
      </c>
      <c r="K24" s="221">
        <v>2028</v>
      </c>
      <c r="L24" s="221">
        <v>2029</v>
      </c>
      <c r="M24" s="221">
        <v>2030</v>
      </c>
      <c r="N24" s="221">
        <v>2031</v>
      </c>
      <c r="O24" s="221">
        <v>2032</v>
      </c>
      <c r="P24" s="221">
        <v>2033</v>
      </c>
      <c r="Q24" s="221">
        <v>2034</v>
      </c>
      <c r="R24" s="221">
        <v>2035</v>
      </c>
      <c r="S24" s="221">
        <v>2036</v>
      </c>
      <c r="T24" s="221">
        <v>2037</v>
      </c>
      <c r="U24" s="221">
        <v>2038</v>
      </c>
      <c r="V24" s="221">
        <v>2039</v>
      </c>
      <c r="W24" s="221">
        <v>2040</v>
      </c>
    </row>
    <row r="25" spans="2:24" x14ac:dyDescent="0.25">
      <c r="D25" s="221" t="s">
        <v>59</v>
      </c>
      <c r="E25" s="221" t="s">
        <v>40</v>
      </c>
      <c r="F25" s="221" t="s">
        <v>39</v>
      </c>
      <c r="G25" s="221" t="s">
        <v>38</v>
      </c>
      <c r="H25" s="221" t="s">
        <v>58</v>
      </c>
      <c r="I25" s="221" t="s">
        <v>36</v>
      </c>
      <c r="J25" s="221" t="s">
        <v>35</v>
      </c>
      <c r="K25" s="221" t="s">
        <v>34</v>
      </c>
      <c r="L25" s="221" t="s">
        <v>33</v>
      </c>
      <c r="M25" s="221" t="s">
        <v>32</v>
      </c>
      <c r="N25" s="221" t="s">
        <v>31</v>
      </c>
      <c r="O25" s="221" t="s">
        <v>30</v>
      </c>
      <c r="P25" s="221" t="s">
        <v>57</v>
      </c>
      <c r="Q25" s="221" t="s">
        <v>56</v>
      </c>
      <c r="R25" s="221" t="s">
        <v>27</v>
      </c>
      <c r="S25" s="221" t="s">
        <v>55</v>
      </c>
      <c r="T25" s="221" t="s">
        <v>54</v>
      </c>
      <c r="U25" s="221" t="s">
        <v>24</v>
      </c>
      <c r="V25" s="221" t="s">
        <v>23</v>
      </c>
      <c r="W25" s="221" t="s">
        <v>53</v>
      </c>
    </row>
    <row r="26" spans="2:24" ht="15" customHeight="1" x14ac:dyDescent="0.3">
      <c r="C26" s="5" t="s">
        <v>134</v>
      </c>
      <c r="D26" s="3"/>
      <c r="E26" s="3"/>
      <c r="F26" s="3">
        <f>H21</f>
        <v>2417.982</v>
      </c>
      <c r="G26" s="3">
        <f>J21</f>
        <v>4205.95</v>
      </c>
      <c r="H26" s="3">
        <f>G26</f>
        <v>4205.95</v>
      </c>
      <c r="I26" s="3">
        <f>$H$21+$J$21+$L$21</f>
        <v>6692.2519999999995</v>
      </c>
      <c r="J26" s="3">
        <f t="shared" ref="J26:U26" si="0">$H$21+$J$21+$L$21</f>
        <v>6692.2519999999995</v>
      </c>
      <c r="K26" s="3">
        <f t="shared" si="0"/>
        <v>6692.2519999999995</v>
      </c>
      <c r="L26" s="3">
        <f t="shared" si="0"/>
        <v>6692.2519999999995</v>
      </c>
      <c r="M26" s="3">
        <f t="shared" si="0"/>
        <v>6692.2519999999995</v>
      </c>
      <c r="N26" s="3">
        <f t="shared" si="0"/>
        <v>6692.2519999999995</v>
      </c>
      <c r="O26" s="3">
        <f t="shared" si="0"/>
        <v>6692.2519999999995</v>
      </c>
      <c r="P26" s="3">
        <f t="shared" si="0"/>
        <v>6692.2519999999995</v>
      </c>
      <c r="Q26" s="3">
        <f t="shared" si="0"/>
        <v>6692.2519999999995</v>
      </c>
      <c r="R26" s="3">
        <f t="shared" si="0"/>
        <v>6692.2519999999995</v>
      </c>
      <c r="S26" s="3">
        <f t="shared" si="0"/>
        <v>6692.2519999999995</v>
      </c>
      <c r="T26" s="3">
        <f t="shared" si="0"/>
        <v>6692.2519999999995</v>
      </c>
      <c r="U26" s="3">
        <f t="shared" si="0"/>
        <v>6692.2519999999995</v>
      </c>
      <c r="V26" s="3">
        <f>U26-H21</f>
        <v>4274.2699999999995</v>
      </c>
      <c r="W26" s="3">
        <f>V26-J21</f>
        <v>68.319999999999709</v>
      </c>
    </row>
    <row r="27" spans="2:24" ht="15" customHeight="1" x14ac:dyDescent="0.3">
      <c r="C27" s="5" t="s">
        <v>107</v>
      </c>
      <c r="D27" s="3"/>
      <c r="E27" s="3"/>
      <c r="F27" s="3"/>
      <c r="G27" s="3"/>
      <c r="H27" s="3"/>
      <c r="I27" s="3"/>
      <c r="J27" s="3">
        <f>H22</f>
        <v>3022.4775</v>
      </c>
      <c r="K27" s="3">
        <f>J22</f>
        <v>5257.4375</v>
      </c>
      <c r="L27" s="3">
        <f>L22</f>
        <v>85.4</v>
      </c>
      <c r="M27" s="3"/>
      <c r="N27" s="3"/>
      <c r="O27" s="3">
        <f>H22</f>
        <v>3022.4775</v>
      </c>
      <c r="P27" s="3">
        <f>J22</f>
        <v>5257.4375</v>
      </c>
      <c r="Q27" s="3">
        <f>L22</f>
        <v>85.4</v>
      </c>
      <c r="R27" s="3"/>
      <c r="S27" s="3"/>
      <c r="T27" s="3">
        <f>H22</f>
        <v>3022.4775</v>
      </c>
      <c r="U27" s="3">
        <f>J22</f>
        <v>5257.4375</v>
      </c>
      <c r="V27" s="3">
        <f>L22</f>
        <v>85.4</v>
      </c>
      <c r="W27" s="3"/>
      <c r="X27" s="230" t="s">
        <v>96</v>
      </c>
    </row>
    <row r="28" spans="2:24" ht="15" customHeight="1" x14ac:dyDescent="0.3">
      <c r="C28" s="5" t="s">
        <v>46</v>
      </c>
      <c r="D28" s="3"/>
      <c r="E28" s="3"/>
      <c r="F28" s="3">
        <f>F26+F27</f>
        <v>2417.982</v>
      </c>
      <c r="G28" s="3">
        <f t="shared" ref="G28:W28" si="1">G26+G27</f>
        <v>4205.95</v>
      </c>
      <c r="H28" s="3">
        <f t="shared" si="1"/>
        <v>4205.95</v>
      </c>
      <c r="I28" s="3">
        <f t="shared" si="1"/>
        <v>6692.2519999999995</v>
      </c>
      <c r="J28" s="3">
        <f t="shared" si="1"/>
        <v>9714.7294999999995</v>
      </c>
      <c r="K28" s="3">
        <f t="shared" si="1"/>
        <v>11949.6895</v>
      </c>
      <c r="L28" s="3">
        <f t="shared" si="1"/>
        <v>6777.6519999999991</v>
      </c>
      <c r="M28" s="3">
        <f t="shared" si="1"/>
        <v>6692.2519999999995</v>
      </c>
      <c r="N28" s="3">
        <f t="shared" si="1"/>
        <v>6692.2519999999995</v>
      </c>
      <c r="O28" s="3">
        <f t="shared" si="1"/>
        <v>9714.7294999999995</v>
      </c>
      <c r="P28" s="3">
        <f t="shared" si="1"/>
        <v>11949.6895</v>
      </c>
      <c r="Q28" s="3">
        <f t="shared" si="1"/>
        <v>6777.6519999999991</v>
      </c>
      <c r="R28" s="3">
        <f t="shared" si="1"/>
        <v>6692.2519999999995</v>
      </c>
      <c r="S28" s="3">
        <f t="shared" si="1"/>
        <v>6692.2519999999995</v>
      </c>
      <c r="T28" s="3">
        <f t="shared" si="1"/>
        <v>9714.7294999999995</v>
      </c>
      <c r="U28" s="3">
        <f t="shared" si="1"/>
        <v>11949.6895</v>
      </c>
      <c r="V28" s="3">
        <f t="shared" si="1"/>
        <v>4359.6699999999992</v>
      </c>
      <c r="W28" s="3">
        <f t="shared" si="1"/>
        <v>68.319999999999709</v>
      </c>
      <c r="X28" s="230">
        <f>SUM(D27:W28)</f>
        <v>152363.63800000001</v>
      </c>
    </row>
    <row r="30" spans="2:24" thickBot="1" x14ac:dyDescent="0.35"/>
    <row r="31" spans="2:24" ht="50.25" thickBot="1" x14ac:dyDescent="0.3">
      <c r="B31" s="24"/>
      <c r="C31" s="24" t="s">
        <v>122</v>
      </c>
      <c r="D31" s="24" t="s">
        <v>123</v>
      </c>
      <c r="E31" s="24">
        <v>2021</v>
      </c>
      <c r="F31" s="24" t="s">
        <v>79</v>
      </c>
      <c r="G31" s="24">
        <v>2022</v>
      </c>
      <c r="H31" s="24" t="s">
        <v>79</v>
      </c>
      <c r="I31" s="24">
        <v>2023</v>
      </c>
      <c r="J31" s="24" t="s">
        <v>79</v>
      </c>
      <c r="K31" s="24">
        <v>2025</v>
      </c>
      <c r="L31" s="24" t="s">
        <v>79</v>
      </c>
      <c r="M31" s="24" t="s">
        <v>124</v>
      </c>
      <c r="N31" s="24" t="s">
        <v>77</v>
      </c>
    </row>
    <row r="32" spans="2:24" ht="16.5" thickTop="1" thickBot="1" x14ac:dyDescent="0.3">
      <c r="B32" s="56" t="s">
        <v>135</v>
      </c>
      <c r="C32" s="32" t="s">
        <v>136</v>
      </c>
      <c r="D32" s="59">
        <f>'TABLA GENERAL FASE 1 Y 2'!H180</f>
        <v>11022</v>
      </c>
      <c r="E32" s="15">
        <f>'TABLA GENERAL FASE 1 Y 2'!J180</f>
        <v>0</v>
      </c>
      <c r="F32" s="60">
        <v>0</v>
      </c>
      <c r="G32" s="15">
        <f>'TABLA GENERAL FASE 1 Y 2'!L180</f>
        <v>0</v>
      </c>
      <c r="H32" s="60">
        <v>0</v>
      </c>
      <c r="I32" s="15">
        <f>'TABLA GENERAL FASE 1 Y 2'!N180</f>
        <v>3</v>
      </c>
      <c r="J32" s="60">
        <v>33066</v>
      </c>
      <c r="K32" s="15">
        <f>'TABLA GENERAL FASE 1 Y 2'!P180</f>
        <v>2</v>
      </c>
      <c r="L32" s="60">
        <v>22044</v>
      </c>
      <c r="M32" s="18">
        <v>5</v>
      </c>
      <c r="N32" s="18">
        <v>55110</v>
      </c>
    </row>
    <row r="33" spans="2:14" ht="25.5" thickTop="1" x14ac:dyDescent="0.25">
      <c r="B33" s="55" t="s">
        <v>63</v>
      </c>
      <c r="C33" s="23" t="s">
        <v>62</v>
      </c>
      <c r="D33" s="15">
        <v>2E-3</v>
      </c>
      <c r="E33" s="681"/>
      <c r="F33" s="29">
        <f>$D$32*$D$33*E32</f>
        <v>0</v>
      </c>
      <c r="G33" s="681"/>
      <c r="H33" s="29">
        <f>$D$32*$D$33*G32</f>
        <v>0</v>
      </c>
      <c r="I33" s="681"/>
      <c r="J33" s="29">
        <f>$D$32*$D$33*I32</f>
        <v>66.132000000000005</v>
      </c>
      <c r="K33" s="681"/>
      <c r="L33" s="29">
        <f>$D$32*$D$33*K32</f>
        <v>44.088000000000001</v>
      </c>
      <c r="M33" s="681"/>
      <c r="N33" s="54" t="s">
        <v>118</v>
      </c>
    </row>
    <row r="34" spans="2:14" ht="15.75" thickBot="1" x14ac:dyDescent="0.3">
      <c r="B34" s="55" t="s">
        <v>61</v>
      </c>
      <c r="C34" s="17" t="s">
        <v>60</v>
      </c>
      <c r="D34" s="15">
        <v>5.0000000000000001E-3</v>
      </c>
      <c r="E34" s="682"/>
      <c r="F34" s="29">
        <f>$D$32*$D$34*E32</f>
        <v>0</v>
      </c>
      <c r="G34" s="682"/>
      <c r="H34" s="29">
        <f>$D$32*$D$34*G32</f>
        <v>0</v>
      </c>
      <c r="I34" s="682"/>
      <c r="J34" s="29">
        <f>$D$32*$D$34*I32</f>
        <v>165.32999999999998</v>
      </c>
      <c r="K34" s="682"/>
      <c r="L34" s="29">
        <f>$D$32*$D$34*K32</f>
        <v>110.22</v>
      </c>
      <c r="M34" s="682"/>
      <c r="N34" s="54"/>
    </row>
    <row r="35" spans="2:14" ht="31.5" thickTop="1" thickBot="1" x14ac:dyDescent="0.3">
      <c r="B35" s="56" t="s">
        <v>137</v>
      </c>
      <c r="C35" s="32" t="s">
        <v>138</v>
      </c>
      <c r="D35" s="59">
        <f>'TABLA GENERAL FASE 1 Y 2'!H182</f>
        <v>250260</v>
      </c>
      <c r="E35" s="15">
        <f>'TABLA GENERAL FASE 1 Y 2'!J182</f>
        <v>0</v>
      </c>
      <c r="F35" s="60">
        <v>0</v>
      </c>
      <c r="G35" s="15">
        <f>'TABLA GENERAL FASE 1 Y 2'!L182</f>
        <v>0</v>
      </c>
      <c r="H35" s="60">
        <v>0</v>
      </c>
      <c r="I35" s="15">
        <f>'TABLA GENERAL FASE 1 Y 2'!N183</f>
        <v>0</v>
      </c>
      <c r="J35" s="60">
        <v>0</v>
      </c>
      <c r="K35" s="15">
        <f>'TABLA GENERAL FASE 1 Y 2'!P182</f>
        <v>1</v>
      </c>
      <c r="L35" s="60">
        <v>250260</v>
      </c>
      <c r="M35" s="18">
        <v>1</v>
      </c>
      <c r="N35" s="18">
        <v>250260</v>
      </c>
    </row>
    <row r="36" spans="2:14" ht="25.5" thickTop="1" x14ac:dyDescent="0.25">
      <c r="B36" s="55" t="s">
        <v>63</v>
      </c>
      <c r="C36" s="23" t="s">
        <v>62</v>
      </c>
      <c r="D36" s="15">
        <v>4.0000000000000001E-3</v>
      </c>
      <c r="E36" s="681"/>
      <c r="F36" s="29">
        <f>$D$35*$D$36*E35</f>
        <v>0</v>
      </c>
      <c r="G36" s="681"/>
      <c r="H36" s="29">
        <f>$D$35*$D$36*G35</f>
        <v>0</v>
      </c>
      <c r="I36" s="681"/>
      <c r="J36" s="29">
        <f>$D$35*$D$36*I35</f>
        <v>0</v>
      </c>
      <c r="K36" s="681"/>
      <c r="L36" s="29">
        <f>$D$35*$D$36*K35</f>
        <v>1001.0400000000001</v>
      </c>
      <c r="M36" s="681"/>
      <c r="N36" s="54" t="s">
        <v>118</v>
      </c>
    </row>
    <row r="37" spans="2:14" x14ac:dyDescent="0.25">
      <c r="B37" s="55" t="s">
        <v>61</v>
      </c>
      <c r="C37" s="17" t="s">
        <v>60</v>
      </c>
      <c r="D37" s="15">
        <v>4.0000000000000001E-3</v>
      </c>
      <c r="E37" s="682"/>
      <c r="F37" s="29">
        <f>$D$35*$D$37*E35</f>
        <v>0</v>
      </c>
      <c r="G37" s="682"/>
      <c r="H37" s="29">
        <f>$D$35*$D$37*G35</f>
        <v>0</v>
      </c>
      <c r="I37" s="682"/>
      <c r="J37" s="29">
        <f>$D$35*$D$37*I35</f>
        <v>0</v>
      </c>
      <c r="K37" s="682"/>
      <c r="L37" s="29">
        <f>$D$35*$D$37*K35</f>
        <v>1001.0400000000001</v>
      </c>
      <c r="M37" s="682"/>
      <c r="N37" s="54"/>
    </row>
    <row r="38" spans="2:14" ht="15.75" thickBot="1" x14ac:dyDescent="0.3">
      <c r="B38" s="67" t="s">
        <v>67</v>
      </c>
      <c r="C38" s="52" t="s">
        <v>127</v>
      </c>
      <c r="D38" s="51">
        <v>0.01</v>
      </c>
      <c r="E38" s="196"/>
      <c r="F38" s="69">
        <f>$D$38*$D$35*E35</f>
        <v>0</v>
      </c>
      <c r="G38" s="68"/>
      <c r="H38" s="69">
        <f>$D$38*$D$35*G35</f>
        <v>0</v>
      </c>
      <c r="I38" s="68"/>
      <c r="J38" s="69">
        <f>$D$38*$D$35*I35</f>
        <v>0</v>
      </c>
      <c r="K38" s="68"/>
      <c r="L38" s="69">
        <f>$D$38*$D$35*K35</f>
        <v>2502.6</v>
      </c>
      <c r="M38" s="68"/>
      <c r="N38" s="70"/>
    </row>
    <row r="39" spans="2:14" ht="16.5" thickTop="1" thickBot="1" x14ac:dyDescent="0.3">
      <c r="B39" s="56" t="s">
        <v>139</v>
      </c>
      <c r="C39" s="32" t="s">
        <v>140</v>
      </c>
      <c r="D39" s="59">
        <f>'TABLA GENERAL FASE 1 Y 2'!H183</f>
        <v>75650</v>
      </c>
      <c r="E39" s="15">
        <f>'TABLA GENERAL FASE 1 Y 2'!J183</f>
        <v>0</v>
      </c>
      <c r="F39" s="60">
        <v>0</v>
      </c>
      <c r="G39" s="15">
        <f>'TABLA GENERAL FASE 1 Y 2'!L183</f>
        <v>0</v>
      </c>
      <c r="H39" s="60">
        <v>0</v>
      </c>
      <c r="I39" s="15">
        <v>0</v>
      </c>
      <c r="J39" s="60">
        <v>0</v>
      </c>
      <c r="K39" s="15">
        <f>'TABLA GENERAL FASE 1 Y 2'!P183</f>
        <v>1</v>
      </c>
      <c r="L39" s="60">
        <v>75650</v>
      </c>
      <c r="M39" s="18">
        <v>1</v>
      </c>
      <c r="N39" s="18">
        <v>75650</v>
      </c>
    </row>
    <row r="40" spans="2:14" ht="25.5" thickTop="1" x14ac:dyDescent="0.25">
      <c r="B40" s="55" t="s">
        <v>63</v>
      </c>
      <c r="C40" s="23" t="s">
        <v>62</v>
      </c>
      <c r="D40" s="15">
        <v>4.0000000000000001E-3</v>
      </c>
      <c r="E40" s="681"/>
      <c r="F40" s="29">
        <f>$D$39*$D$40*E39</f>
        <v>0</v>
      </c>
      <c r="G40" s="681"/>
      <c r="H40" s="29">
        <f>$D$39*$D$40*G39</f>
        <v>0</v>
      </c>
      <c r="I40" s="681"/>
      <c r="J40" s="29">
        <f>$D$39*$D$40*I39</f>
        <v>0</v>
      </c>
      <c r="K40" s="681"/>
      <c r="L40" s="29">
        <f>$D$39*$D$40*K39</f>
        <v>302.60000000000002</v>
      </c>
      <c r="M40" s="681"/>
      <c r="N40" s="54" t="s">
        <v>118</v>
      </c>
    </row>
    <row r="41" spans="2:14" x14ac:dyDescent="0.25">
      <c r="B41" s="55" t="s">
        <v>61</v>
      </c>
      <c r="C41" s="17" t="s">
        <v>60</v>
      </c>
      <c r="D41" s="15">
        <v>4.0000000000000001E-3</v>
      </c>
      <c r="E41" s="682"/>
      <c r="F41" s="29">
        <f>$D$39*$D$41*E39</f>
        <v>0</v>
      </c>
      <c r="G41" s="682"/>
      <c r="H41" s="29">
        <f>$D$39*$D$41*G39</f>
        <v>0</v>
      </c>
      <c r="I41" s="682"/>
      <c r="J41" s="29">
        <f>$D$39*$D$41*I39</f>
        <v>0</v>
      </c>
      <c r="K41" s="682"/>
      <c r="L41" s="29">
        <f>$D$39*$D$41*K39</f>
        <v>302.60000000000002</v>
      </c>
      <c r="M41" s="682"/>
      <c r="N41" s="54"/>
    </row>
    <row r="42" spans="2:14" ht="15.75" thickBot="1" x14ac:dyDescent="0.3">
      <c r="B42" s="67" t="s">
        <v>67</v>
      </c>
      <c r="C42" s="52" t="s">
        <v>127</v>
      </c>
      <c r="D42" s="51">
        <v>0.01</v>
      </c>
      <c r="E42" s="196"/>
      <c r="F42" s="69">
        <f>$D$39*$D$42*E39</f>
        <v>0</v>
      </c>
      <c r="G42" s="68"/>
      <c r="H42" s="69">
        <f>$D$39*$D$42*G39</f>
        <v>0</v>
      </c>
      <c r="I42" s="68"/>
      <c r="J42" s="69">
        <f>$D$39*$D$42*I39</f>
        <v>0</v>
      </c>
      <c r="K42" s="68"/>
      <c r="L42" s="69">
        <f>$D$39*$D$42*K39</f>
        <v>756.5</v>
      </c>
      <c r="M42" s="68"/>
      <c r="N42" s="70"/>
    </row>
    <row r="43" spans="2:14" ht="16.5" thickTop="1" thickBot="1" x14ac:dyDescent="0.3">
      <c r="B43" s="56" t="s">
        <v>141</v>
      </c>
      <c r="C43" s="32" t="s">
        <v>142</v>
      </c>
      <c r="D43" s="59">
        <f>'TABLA GENERAL FASE 1 Y 2'!H184</f>
        <v>181147</v>
      </c>
      <c r="E43" s="15">
        <f>'TABLA GENERAL FASE 1 Y 2'!J184</f>
        <v>0</v>
      </c>
      <c r="F43" s="60">
        <v>0</v>
      </c>
      <c r="G43" s="15">
        <f>'TABLA GENERAL FASE 1 Y 2'!L184</f>
        <v>0</v>
      </c>
      <c r="H43" s="60">
        <v>0</v>
      </c>
      <c r="I43" s="15">
        <f>'TABLA GENERAL FASE 1 Y 2'!N184</f>
        <v>1</v>
      </c>
      <c r="J43" s="60">
        <v>181147</v>
      </c>
      <c r="K43" s="15">
        <f>'TABLA GENERAL FASE 1 Y 2'!P184</f>
        <v>1</v>
      </c>
      <c r="L43" s="60">
        <v>181147</v>
      </c>
      <c r="M43" s="18">
        <v>2</v>
      </c>
      <c r="N43" s="18">
        <v>362294</v>
      </c>
    </row>
    <row r="44" spans="2:14" ht="25.5" thickTop="1" x14ac:dyDescent="0.25">
      <c r="B44" s="55" t="s">
        <v>63</v>
      </c>
      <c r="C44" s="23" t="s">
        <v>62</v>
      </c>
      <c r="D44" s="15">
        <v>4.0000000000000001E-3</v>
      </c>
      <c r="E44" s="681"/>
      <c r="F44" s="29">
        <f>$D$43*$D$44*E43</f>
        <v>0</v>
      </c>
      <c r="G44" s="681"/>
      <c r="H44" s="29">
        <f>$D$43*$D$44*G43</f>
        <v>0</v>
      </c>
      <c r="I44" s="681"/>
      <c r="J44" s="29">
        <f>$D$43*$D$44*I43</f>
        <v>724.58799999999997</v>
      </c>
      <c r="K44" s="681"/>
      <c r="L44" s="29">
        <f>$D$43*$D$44*K43</f>
        <v>724.58799999999997</v>
      </c>
      <c r="M44" s="681"/>
      <c r="N44" s="54" t="s">
        <v>118</v>
      </c>
    </row>
    <row r="45" spans="2:14" x14ac:dyDescent="0.25">
      <c r="B45" s="55" t="s">
        <v>61</v>
      </c>
      <c r="C45" s="17" t="s">
        <v>60</v>
      </c>
      <c r="D45" s="15">
        <v>4.0000000000000001E-3</v>
      </c>
      <c r="E45" s="682"/>
      <c r="F45" s="29">
        <f>$D$43*$D$45*E43</f>
        <v>0</v>
      </c>
      <c r="G45" s="682"/>
      <c r="H45" s="29">
        <f>$D$43*$D$45*G43</f>
        <v>0</v>
      </c>
      <c r="I45" s="682"/>
      <c r="J45" s="29">
        <f>$D$43*$D$45*I43</f>
        <v>724.58799999999997</v>
      </c>
      <c r="K45" s="682"/>
      <c r="L45" s="29">
        <f>$D$43*$D$45*K43</f>
        <v>724.58799999999997</v>
      </c>
      <c r="M45" s="682"/>
      <c r="N45" s="54"/>
    </row>
    <row r="46" spans="2:14" ht="15.75" thickBot="1" x14ac:dyDescent="0.3">
      <c r="B46" s="67" t="s">
        <v>67</v>
      </c>
      <c r="C46" s="52" t="s">
        <v>127</v>
      </c>
      <c r="D46" s="51">
        <v>0.01</v>
      </c>
      <c r="E46" s="196"/>
      <c r="F46" s="69">
        <f>$D$43*$D$46*E43</f>
        <v>0</v>
      </c>
      <c r="G46" s="68"/>
      <c r="H46" s="69">
        <f>$D$43*$D$46*G43</f>
        <v>0</v>
      </c>
      <c r="I46" s="68"/>
      <c r="J46" s="69">
        <f>$D$43*$D$46*I43</f>
        <v>1811.47</v>
      </c>
      <c r="K46" s="68"/>
      <c r="L46" s="69">
        <f>$D$43*$D$46*K43</f>
        <v>1811.47</v>
      </c>
      <c r="M46" s="68"/>
      <c r="N46" s="70"/>
    </row>
    <row r="47" spans="2:14" ht="16.5" thickTop="1" thickBot="1" x14ac:dyDescent="0.3">
      <c r="B47" s="56" t="s">
        <v>143</v>
      </c>
      <c r="C47" s="32" t="s">
        <v>144</v>
      </c>
      <c r="D47" s="59">
        <f>'TABLA GENERAL FASE 1 Y 2'!H185</f>
        <v>247000</v>
      </c>
      <c r="E47" s="15">
        <f>'TABLA GENERAL FASE 1 Y 2'!J185</f>
        <v>0</v>
      </c>
      <c r="F47" s="60">
        <v>0</v>
      </c>
      <c r="G47" s="15">
        <f>'TABLA GENERAL FASE 1 Y 2'!L185</f>
        <v>0</v>
      </c>
      <c r="H47" s="60">
        <v>0</v>
      </c>
      <c r="I47" s="15">
        <f>'TABLA GENERAL FASE 1 Y 2'!N185</f>
        <v>0</v>
      </c>
      <c r="J47" s="60">
        <v>0</v>
      </c>
      <c r="K47" s="15">
        <f>'TABLA GENERAL FASE 1 Y 2'!P185</f>
        <v>2</v>
      </c>
      <c r="L47" s="60">
        <v>741000</v>
      </c>
      <c r="M47" s="18">
        <v>3</v>
      </c>
      <c r="N47" s="18">
        <v>741000</v>
      </c>
    </row>
    <row r="48" spans="2:14" ht="25.5" thickTop="1" x14ac:dyDescent="0.25">
      <c r="B48" s="55" t="s">
        <v>63</v>
      </c>
      <c r="C48" s="23" t="s">
        <v>62</v>
      </c>
      <c r="D48" s="15">
        <v>4.0000000000000001E-3</v>
      </c>
      <c r="E48" s="681"/>
      <c r="F48" s="29">
        <f>$D$47*$D$48*E47</f>
        <v>0</v>
      </c>
      <c r="G48" s="681"/>
      <c r="H48" s="29">
        <f>$D$47*$D$48*G47</f>
        <v>0</v>
      </c>
      <c r="I48" s="681"/>
      <c r="J48" s="29">
        <f>$D$47*$D$48*I47</f>
        <v>0</v>
      </c>
      <c r="K48" s="681"/>
      <c r="L48" s="29">
        <f>$D$47*$D$48*K47</f>
        <v>1976</v>
      </c>
      <c r="M48" s="681"/>
      <c r="N48" s="54" t="s">
        <v>118</v>
      </c>
    </row>
    <row r="49" spans="2:14" x14ac:dyDescent="0.25">
      <c r="B49" s="55" t="s">
        <v>61</v>
      </c>
      <c r="C49" s="17" t="s">
        <v>60</v>
      </c>
      <c r="D49" s="15">
        <v>4.0000000000000001E-3</v>
      </c>
      <c r="E49" s="682"/>
      <c r="F49" s="29">
        <f>$D$47*$D$49*E47</f>
        <v>0</v>
      </c>
      <c r="G49" s="682"/>
      <c r="H49" s="29">
        <f>$D$47*$D$49*G47</f>
        <v>0</v>
      </c>
      <c r="I49" s="682"/>
      <c r="J49" s="29">
        <f>$D$47*$D$49*I47</f>
        <v>0</v>
      </c>
      <c r="K49" s="682"/>
      <c r="L49" s="29">
        <f>$D$47*$D$49*K47</f>
        <v>1976</v>
      </c>
      <c r="M49" s="682"/>
      <c r="N49" s="54"/>
    </row>
    <row r="50" spans="2:14" ht="15.75" thickBot="1" x14ac:dyDescent="0.3">
      <c r="B50" s="67" t="s">
        <v>67</v>
      </c>
      <c r="C50" s="52" t="s">
        <v>127</v>
      </c>
      <c r="D50" s="51">
        <v>0.01</v>
      </c>
      <c r="E50" s="196"/>
      <c r="F50" s="69">
        <f>$D$47*$D$50*E47</f>
        <v>0</v>
      </c>
      <c r="G50" s="68"/>
      <c r="H50" s="69">
        <f>$D$47*$D$50*G47</f>
        <v>0</v>
      </c>
      <c r="I50" s="68"/>
      <c r="J50" s="69">
        <f>$D$47*$D$50*I47</f>
        <v>0</v>
      </c>
      <c r="K50" s="68"/>
      <c r="L50" s="69">
        <f>$D$47*$D$50*K47</f>
        <v>4940</v>
      </c>
      <c r="M50" s="68"/>
      <c r="N50" s="70"/>
    </row>
    <row r="51" spans="2:14" ht="16.5" thickTop="1" thickBot="1" x14ac:dyDescent="0.3">
      <c r="B51" s="56" t="s">
        <v>145</v>
      </c>
      <c r="C51" s="32" t="s">
        <v>146</v>
      </c>
      <c r="D51" s="59">
        <f>'TABLA GENERAL FASE 1 Y 2'!H186</f>
        <v>12740</v>
      </c>
      <c r="E51" s="15">
        <f>'TABLA GENERAL FASE 1 Y 2'!J186</f>
        <v>0</v>
      </c>
      <c r="F51" s="60">
        <v>0</v>
      </c>
      <c r="G51" s="15">
        <f>'TABLA GENERAL FASE 1 Y 2'!L186</f>
        <v>0</v>
      </c>
      <c r="H51" s="60">
        <v>0</v>
      </c>
      <c r="I51" s="15">
        <f>'TABLA GENERAL FASE 1 Y 2'!N186</f>
        <v>0</v>
      </c>
      <c r="J51" s="60">
        <v>0</v>
      </c>
      <c r="K51" s="15">
        <f>'TABLA GENERAL FASE 1 Y 2'!P186</f>
        <v>1</v>
      </c>
      <c r="L51" s="60">
        <v>12740</v>
      </c>
      <c r="M51" s="18">
        <v>1</v>
      </c>
      <c r="N51" s="18">
        <v>12740</v>
      </c>
    </row>
    <row r="52" spans="2:14" ht="25.5" thickTop="1" x14ac:dyDescent="0.25">
      <c r="B52" s="55" t="s">
        <v>63</v>
      </c>
      <c r="C52" s="23" t="s">
        <v>62</v>
      </c>
      <c r="D52" s="15">
        <v>4.0000000000000001E-3</v>
      </c>
      <c r="E52" s="681"/>
      <c r="F52" s="29">
        <f>$D$51*$D$52*E51</f>
        <v>0</v>
      </c>
      <c r="G52" s="681"/>
      <c r="H52" s="29">
        <f>$D$51*$D$52*G51</f>
        <v>0</v>
      </c>
      <c r="I52" s="681"/>
      <c r="J52" s="29">
        <f>$D$51*$D$52*I51</f>
        <v>0</v>
      </c>
      <c r="K52" s="681"/>
      <c r="L52" s="29">
        <f>$D$51*$D$52*K51</f>
        <v>50.96</v>
      </c>
      <c r="M52" s="681"/>
      <c r="N52" s="54" t="s">
        <v>118</v>
      </c>
    </row>
    <row r="53" spans="2:14" x14ac:dyDescent="0.25">
      <c r="B53" s="55" t="s">
        <v>61</v>
      </c>
      <c r="C53" s="17" t="s">
        <v>60</v>
      </c>
      <c r="D53" s="15">
        <v>4.0000000000000001E-3</v>
      </c>
      <c r="E53" s="682"/>
      <c r="F53" s="29">
        <f>$D$51*$D$53*E51</f>
        <v>0</v>
      </c>
      <c r="G53" s="682"/>
      <c r="H53" s="29">
        <f>$D$51*$D$53*G51</f>
        <v>0</v>
      </c>
      <c r="I53" s="682"/>
      <c r="J53" s="29">
        <f>$D$51*$D$53*I51</f>
        <v>0</v>
      </c>
      <c r="K53" s="682"/>
      <c r="L53" s="29">
        <f>$D$51*$D$53*K51</f>
        <v>50.96</v>
      </c>
      <c r="M53" s="682"/>
      <c r="N53" s="54"/>
    </row>
    <row r="54" spans="2:14" ht="15.75" thickBot="1" x14ac:dyDescent="0.3">
      <c r="B54" s="67" t="s">
        <v>67</v>
      </c>
      <c r="C54" s="52" t="s">
        <v>127</v>
      </c>
      <c r="D54" s="51">
        <v>0.01</v>
      </c>
      <c r="E54" s="196"/>
      <c r="F54" s="69">
        <f>$D$51*$D$54*E51</f>
        <v>0</v>
      </c>
      <c r="G54" s="68"/>
      <c r="H54" s="69">
        <f>$D$51*$D$54*G51</f>
        <v>0</v>
      </c>
      <c r="I54" s="68"/>
      <c r="J54" s="69">
        <f>$D$51*$D$54*I51</f>
        <v>0</v>
      </c>
      <c r="K54" s="68"/>
      <c r="L54" s="69">
        <f>$D$51*$D$54*K51</f>
        <v>127.4</v>
      </c>
      <c r="M54" s="68"/>
      <c r="N54" s="70"/>
    </row>
    <row r="55" spans="2:14" ht="16.5" thickTop="1" thickBot="1" x14ac:dyDescent="0.3">
      <c r="B55" s="56" t="s">
        <v>147</v>
      </c>
      <c r="C55" s="32" t="s">
        <v>148</v>
      </c>
      <c r="D55" s="59">
        <f>'TABLA GENERAL FASE 1 Y 2'!H187</f>
        <v>24190</v>
      </c>
      <c r="E55" s="15">
        <f>'TABLA GENERAL FASE 1 Y 2'!J187</f>
        <v>0</v>
      </c>
      <c r="F55" s="60">
        <v>0</v>
      </c>
      <c r="G55" s="15">
        <v>0</v>
      </c>
      <c r="H55" s="60">
        <v>0</v>
      </c>
      <c r="I55" s="15">
        <v>0</v>
      </c>
      <c r="J55" s="60">
        <v>0</v>
      </c>
      <c r="K55" s="15">
        <v>1</v>
      </c>
      <c r="L55" s="60">
        <v>24190</v>
      </c>
      <c r="M55" s="18">
        <v>1</v>
      </c>
      <c r="N55" s="18">
        <v>24190</v>
      </c>
    </row>
    <row r="56" spans="2:14" ht="25.5" thickTop="1" x14ac:dyDescent="0.25">
      <c r="B56" s="55" t="s">
        <v>63</v>
      </c>
      <c r="C56" s="23" t="s">
        <v>62</v>
      </c>
      <c r="D56" s="15">
        <v>4.0000000000000001E-3</v>
      </c>
      <c r="E56" s="681"/>
      <c r="F56" s="29">
        <f>$D$55*$D$56*E55</f>
        <v>0</v>
      </c>
      <c r="G56" s="681"/>
      <c r="H56" s="29">
        <f>$D$55*$D$56*G55</f>
        <v>0</v>
      </c>
      <c r="I56" s="681"/>
      <c r="J56" s="29">
        <f>$D$55*$D$56*I55</f>
        <v>0</v>
      </c>
      <c r="K56" s="681"/>
      <c r="L56" s="29">
        <f>$D$55*$D$56*K55</f>
        <v>96.76</v>
      </c>
      <c r="M56" s="681"/>
      <c r="N56" s="54" t="s">
        <v>118</v>
      </c>
    </row>
    <row r="57" spans="2:14" x14ac:dyDescent="0.25">
      <c r="B57" s="55" t="s">
        <v>61</v>
      </c>
      <c r="C57" s="17" t="s">
        <v>60</v>
      </c>
      <c r="D57" s="15">
        <v>4.0000000000000001E-3</v>
      </c>
      <c r="E57" s="682"/>
      <c r="F57" s="29">
        <f>$D$55*$D$57*E55</f>
        <v>0</v>
      </c>
      <c r="G57" s="682"/>
      <c r="H57" s="29">
        <f>$D$55*$D$57*G55</f>
        <v>0</v>
      </c>
      <c r="I57" s="682"/>
      <c r="J57" s="29">
        <f>$D$55*$D$57*I55</f>
        <v>0</v>
      </c>
      <c r="K57" s="682"/>
      <c r="L57" s="29">
        <f>$D$55*$D$57*K55</f>
        <v>96.76</v>
      </c>
      <c r="M57" s="682"/>
      <c r="N57" s="54"/>
    </row>
    <row r="58" spans="2:14" ht="15.75" thickBot="1" x14ac:dyDescent="0.3">
      <c r="B58" s="67" t="s">
        <v>67</v>
      </c>
      <c r="C58" s="52" t="s">
        <v>127</v>
      </c>
      <c r="D58" s="51">
        <v>0.01</v>
      </c>
      <c r="E58" s="196"/>
      <c r="F58" s="69">
        <f>$D$55*$D$58*E55</f>
        <v>0</v>
      </c>
      <c r="G58" s="68"/>
      <c r="H58" s="69">
        <f>$D$55*$D$58*G55</f>
        <v>0</v>
      </c>
      <c r="I58" s="68"/>
      <c r="J58" s="69">
        <f>$D$55*$D$58*I55</f>
        <v>0</v>
      </c>
      <c r="K58" s="68"/>
      <c r="L58" s="69">
        <f>$D$55*$D$58*K55</f>
        <v>241.9</v>
      </c>
      <c r="M58" s="68"/>
      <c r="N58" s="70"/>
    </row>
    <row r="59" spans="2:14" ht="16.5" thickTop="1" thickBot="1" x14ac:dyDescent="0.3">
      <c r="B59" s="56" t="s">
        <v>149</v>
      </c>
      <c r="C59" s="32" t="s">
        <v>150</v>
      </c>
      <c r="D59" s="59">
        <f>'TABLA GENERAL FASE 1 Y 2'!H188</f>
        <v>61950</v>
      </c>
      <c r="E59" s="15">
        <f>'TABLA GENERAL FASE 1 Y 2'!J188</f>
        <v>0</v>
      </c>
      <c r="F59" s="60">
        <v>0</v>
      </c>
      <c r="G59" s="15">
        <f>'TABLA GENERAL FASE 1 Y 2'!L188</f>
        <v>0</v>
      </c>
      <c r="H59" s="60">
        <v>0</v>
      </c>
      <c r="I59" s="15">
        <f>'TABLA GENERAL FASE 1 Y 2'!N188</f>
        <v>0</v>
      </c>
      <c r="J59" s="60">
        <v>0</v>
      </c>
      <c r="K59" s="15">
        <f>'TABLA GENERAL FASE 1 Y 2'!P188</f>
        <v>1</v>
      </c>
      <c r="L59" s="60">
        <v>61950</v>
      </c>
      <c r="M59" s="18">
        <v>1</v>
      </c>
      <c r="N59" s="18">
        <v>61950</v>
      </c>
    </row>
    <row r="60" spans="2:14" ht="25.5" thickTop="1" x14ac:dyDescent="0.25">
      <c r="B60" s="55" t="s">
        <v>63</v>
      </c>
      <c r="C60" s="23" t="s">
        <v>62</v>
      </c>
      <c r="D60" s="15">
        <v>4.0000000000000001E-3</v>
      </c>
      <c r="E60" s="681"/>
      <c r="F60" s="29">
        <f>$D$59*$D$60*E59</f>
        <v>0</v>
      </c>
      <c r="G60" s="681"/>
      <c r="H60" s="29">
        <f>$D$59*$D$60*G59</f>
        <v>0</v>
      </c>
      <c r="I60" s="681"/>
      <c r="J60" s="29">
        <f>$D$59*$D$60*I59</f>
        <v>0</v>
      </c>
      <c r="K60" s="681"/>
      <c r="L60" s="29">
        <f>$D$59*$D$60*K59</f>
        <v>247.8</v>
      </c>
      <c r="M60" s="681"/>
      <c r="N60" s="54" t="s">
        <v>118</v>
      </c>
    </row>
    <row r="61" spans="2:14" x14ac:dyDescent="0.25">
      <c r="B61" s="55" t="s">
        <v>61</v>
      </c>
      <c r="C61" s="17" t="s">
        <v>60</v>
      </c>
      <c r="D61" s="15">
        <v>4.0000000000000001E-3</v>
      </c>
      <c r="E61" s="682"/>
      <c r="F61" s="29">
        <f>$D$59*$D$61*E59</f>
        <v>0</v>
      </c>
      <c r="G61" s="682"/>
      <c r="H61" s="29">
        <f>$D$59*$D$61*G59</f>
        <v>0</v>
      </c>
      <c r="I61" s="682"/>
      <c r="J61" s="29">
        <f>$D$59*$D$61*I59</f>
        <v>0</v>
      </c>
      <c r="K61" s="682"/>
      <c r="L61" s="29">
        <f>$D$59*$D$61*K59</f>
        <v>247.8</v>
      </c>
      <c r="M61" s="682"/>
      <c r="N61" s="54"/>
    </row>
    <row r="62" spans="2:14" ht="15.75" thickBot="1" x14ac:dyDescent="0.3">
      <c r="B62" s="67" t="s">
        <v>67</v>
      </c>
      <c r="C62" s="52" t="s">
        <v>127</v>
      </c>
      <c r="D62" s="51">
        <v>0.01</v>
      </c>
      <c r="E62" s="196"/>
      <c r="F62" s="69">
        <f>$D$59*$D$62*E59</f>
        <v>0</v>
      </c>
      <c r="G62" s="68"/>
      <c r="H62" s="69">
        <f>$D$59*$D$62*G59</f>
        <v>0</v>
      </c>
      <c r="I62" s="68"/>
      <c r="J62" s="69">
        <f>$D$59*$D$62*I59</f>
        <v>0</v>
      </c>
      <c r="K62" s="68"/>
      <c r="L62" s="69">
        <f>$D$59*$D$62*K59</f>
        <v>619.5</v>
      </c>
      <c r="M62" s="68"/>
      <c r="N62" s="70"/>
    </row>
    <row r="63" spans="2:14" ht="16.5" thickTop="1" thickBot="1" x14ac:dyDescent="0.3">
      <c r="B63" s="56" t="s">
        <v>151</v>
      </c>
      <c r="C63" s="32" t="s">
        <v>152</v>
      </c>
      <c r="D63" s="59">
        <f>'TABLA GENERAL FASE 1 Y 2'!H189</f>
        <v>22080</v>
      </c>
      <c r="E63" s="15">
        <f>'TABLA GENERAL FASE 1 Y 2'!J189</f>
        <v>0</v>
      </c>
      <c r="F63" s="60">
        <v>0</v>
      </c>
      <c r="G63" s="15">
        <f>'TABLA GENERAL FASE 1 Y 2'!L189</f>
        <v>0</v>
      </c>
      <c r="H63" s="60">
        <v>0</v>
      </c>
      <c r="I63" s="15">
        <f>'TABLA GENERAL FASE 1 Y 2'!N189</f>
        <v>0</v>
      </c>
      <c r="J63" s="60">
        <v>0</v>
      </c>
      <c r="K63" s="15">
        <f>'TABLA GENERAL FASE 1 Y 2'!P189</f>
        <v>2</v>
      </c>
      <c r="L63" s="60">
        <v>45638</v>
      </c>
      <c r="M63" s="18">
        <v>2</v>
      </c>
      <c r="N63" s="18">
        <v>45638</v>
      </c>
    </row>
    <row r="64" spans="2:14" ht="25.5" thickTop="1" x14ac:dyDescent="0.25">
      <c r="B64" s="55" t="s">
        <v>63</v>
      </c>
      <c r="C64" s="23" t="s">
        <v>62</v>
      </c>
      <c r="D64" s="15">
        <v>4.0000000000000001E-3</v>
      </c>
      <c r="E64" s="681"/>
      <c r="F64" s="29">
        <f>$D$63*$D$64*E63</f>
        <v>0</v>
      </c>
      <c r="G64" s="681"/>
      <c r="H64" s="29">
        <f>$D$63*$D$64*G63</f>
        <v>0</v>
      </c>
      <c r="I64" s="681"/>
      <c r="J64" s="29">
        <f>$D$63*$D$64*I63</f>
        <v>0</v>
      </c>
      <c r="K64" s="681"/>
      <c r="L64" s="29">
        <f>$D$63*$D$64*K63</f>
        <v>176.64000000000001</v>
      </c>
      <c r="M64" s="681"/>
      <c r="N64" s="54" t="s">
        <v>118</v>
      </c>
    </row>
    <row r="65" spans="2:23" x14ac:dyDescent="0.25">
      <c r="B65" s="55" t="s">
        <v>61</v>
      </c>
      <c r="C65" s="17" t="s">
        <v>60</v>
      </c>
      <c r="D65" s="15">
        <v>4.0000000000000001E-3</v>
      </c>
      <c r="E65" s="682"/>
      <c r="F65" s="29">
        <f>$D$63*$D$65*E63</f>
        <v>0</v>
      </c>
      <c r="G65" s="682"/>
      <c r="H65" s="29">
        <f>$D$63*$D$65*G63</f>
        <v>0</v>
      </c>
      <c r="I65" s="682"/>
      <c r="J65" s="29">
        <f>$D$63*$D$65*I63</f>
        <v>0</v>
      </c>
      <c r="K65" s="682"/>
      <c r="L65" s="29">
        <f>$D$63*$D$65*K63</f>
        <v>176.64000000000001</v>
      </c>
      <c r="M65" s="682"/>
      <c r="N65" s="54"/>
    </row>
    <row r="66" spans="2:23" ht="15.75" thickBot="1" x14ac:dyDescent="0.3">
      <c r="B66" s="67" t="s">
        <v>67</v>
      </c>
      <c r="C66" s="52" t="s">
        <v>127</v>
      </c>
      <c r="D66" s="51">
        <v>0.01</v>
      </c>
      <c r="E66" s="196"/>
      <c r="F66" s="69">
        <f>$D$63*$D$66*E63</f>
        <v>0</v>
      </c>
      <c r="G66" s="68"/>
      <c r="H66" s="69">
        <f>$D$63*$D$66*G63</f>
        <v>0</v>
      </c>
      <c r="I66" s="68"/>
      <c r="J66" s="69">
        <f>$D$63*$D$66*I63</f>
        <v>0</v>
      </c>
      <c r="K66" s="68"/>
      <c r="L66" s="69">
        <f>$D$63*$D$66*K63</f>
        <v>441.6</v>
      </c>
      <c r="M66" s="68"/>
      <c r="N66" s="70"/>
    </row>
    <row r="67" spans="2:23" ht="31.5" thickTop="1" thickBot="1" x14ac:dyDescent="0.3">
      <c r="B67" s="56" t="s">
        <v>153</v>
      </c>
      <c r="C67" s="32" t="s">
        <v>154</v>
      </c>
      <c r="D67" s="59">
        <f>'TABLA GENERAL FASE 1 Y 2'!H190</f>
        <v>16630</v>
      </c>
      <c r="E67" s="15">
        <f>'TABLA GENERAL FASE 1 Y 2'!J190</f>
        <v>0</v>
      </c>
      <c r="F67" s="60">
        <v>0</v>
      </c>
      <c r="G67" s="15">
        <f>'TABLA GENERAL FASE 1 Y 2'!L190</f>
        <v>0</v>
      </c>
      <c r="H67" s="60">
        <v>0</v>
      </c>
      <c r="I67" s="15">
        <f>'TABLA GENERAL FASE 1 Y 2'!N190</f>
        <v>0</v>
      </c>
      <c r="J67" s="60">
        <v>0</v>
      </c>
      <c r="K67" s="15">
        <f>'TABLA GENERAL FASE 1 Y 2'!P190</f>
        <v>1</v>
      </c>
      <c r="L67" s="60">
        <v>22080</v>
      </c>
      <c r="M67" s="18">
        <v>1</v>
      </c>
      <c r="N67" s="18">
        <v>22080</v>
      </c>
    </row>
    <row r="68" spans="2:23" ht="25.5" thickTop="1" x14ac:dyDescent="0.25">
      <c r="B68" s="55" t="s">
        <v>63</v>
      </c>
      <c r="C68" s="23" t="s">
        <v>62</v>
      </c>
      <c r="D68" s="15">
        <v>4.0000000000000001E-3</v>
      </c>
      <c r="E68" s="681"/>
      <c r="F68" s="29">
        <f>$D$67*$D$68*E67</f>
        <v>0</v>
      </c>
      <c r="G68" s="681"/>
      <c r="H68" s="29">
        <f>$D$67*$D$68*G67</f>
        <v>0</v>
      </c>
      <c r="I68" s="681"/>
      <c r="J68" s="29">
        <f>$D$67*$D$68*I67</f>
        <v>0</v>
      </c>
      <c r="K68" s="681"/>
      <c r="L68" s="29">
        <f>$D$67*$D$68*K67</f>
        <v>66.52</v>
      </c>
      <c r="M68" s="681"/>
      <c r="N68" s="54" t="s">
        <v>118</v>
      </c>
    </row>
    <row r="69" spans="2:23" x14ac:dyDescent="0.25">
      <c r="B69" s="55" t="s">
        <v>61</v>
      </c>
      <c r="C69" s="17" t="s">
        <v>60</v>
      </c>
      <c r="D69" s="15">
        <v>4.0000000000000001E-3</v>
      </c>
      <c r="E69" s="682"/>
      <c r="F69" s="29">
        <f>$D$67*$D$69*E67</f>
        <v>0</v>
      </c>
      <c r="G69" s="682"/>
      <c r="H69" s="29">
        <f>$D$67*$D$69*G67</f>
        <v>0</v>
      </c>
      <c r="I69" s="682"/>
      <c r="J69" s="29">
        <f>$D$67*$D$69*I67</f>
        <v>0</v>
      </c>
      <c r="K69" s="682"/>
      <c r="L69" s="29">
        <f>$D$67*$D$69*K67</f>
        <v>66.52</v>
      </c>
      <c r="M69" s="682"/>
      <c r="N69" s="54"/>
    </row>
    <row r="70" spans="2:23" ht="15.75" thickBot="1" x14ac:dyDescent="0.3">
      <c r="B70" s="67" t="s">
        <v>67</v>
      </c>
      <c r="C70" s="52" t="s">
        <v>127</v>
      </c>
      <c r="D70" s="51">
        <v>0.01</v>
      </c>
      <c r="E70" s="196"/>
      <c r="F70" s="69">
        <f>$D$67*$D$70*E67</f>
        <v>0</v>
      </c>
      <c r="G70" s="68"/>
      <c r="H70" s="69">
        <f>$D$67*$D$70*G67</f>
        <v>0</v>
      </c>
      <c r="I70" s="68"/>
      <c r="J70" s="69">
        <f>$D$67*$D$70*I67</f>
        <v>0</v>
      </c>
      <c r="K70" s="68"/>
      <c r="L70" s="69">
        <f>$D$67*$D$70*K67</f>
        <v>166.3</v>
      </c>
      <c r="M70" s="68"/>
      <c r="N70" s="70"/>
    </row>
    <row r="71" spans="2:23" ht="16.5" thickTop="1" thickBot="1" x14ac:dyDescent="0.3">
      <c r="B71" s="56" t="s">
        <v>155</v>
      </c>
      <c r="C71" s="32" t="s">
        <v>156</v>
      </c>
      <c r="D71" s="59">
        <f>'TABLA GENERAL FASE 1 Y 2'!H191</f>
        <v>72745</v>
      </c>
      <c r="E71" s="15">
        <f>'TABLA GENERAL FASE 1 Y 2'!J191</f>
        <v>0</v>
      </c>
      <c r="F71" s="60">
        <v>0</v>
      </c>
      <c r="G71" s="15">
        <f>'TABLA GENERAL FASE 1 Y 2'!L191</f>
        <v>0</v>
      </c>
      <c r="H71" s="60">
        <v>0</v>
      </c>
      <c r="I71" s="15">
        <f>'TABLA GENERAL FASE 1 Y 2'!N191</f>
        <v>0</v>
      </c>
      <c r="J71" s="60">
        <v>0</v>
      </c>
      <c r="K71" s="15">
        <f>'TABLA GENERAL FASE 1 Y 2'!P191</f>
        <v>1</v>
      </c>
      <c r="L71" s="60">
        <v>72745</v>
      </c>
      <c r="M71" s="18">
        <v>1</v>
      </c>
      <c r="N71" s="18">
        <v>72745</v>
      </c>
    </row>
    <row r="72" spans="2:23" ht="25.5" thickTop="1" x14ac:dyDescent="0.25">
      <c r="B72" s="55" t="s">
        <v>63</v>
      </c>
      <c r="C72" s="23" t="s">
        <v>62</v>
      </c>
      <c r="D72" s="15">
        <v>4.0000000000000001E-3</v>
      </c>
      <c r="E72" s="681"/>
      <c r="F72" s="29">
        <f>$D$71*$D$72*E71</f>
        <v>0</v>
      </c>
      <c r="G72" s="681"/>
      <c r="H72" s="29">
        <f>$D$71*$D$72*G71</f>
        <v>0</v>
      </c>
      <c r="I72" s="681"/>
      <c r="J72" s="29">
        <f>$D$71*$D$72*I71</f>
        <v>0</v>
      </c>
      <c r="K72" s="681"/>
      <c r="L72" s="29">
        <f>$D$71*$D$72*K71</f>
        <v>290.98</v>
      </c>
      <c r="M72" s="681"/>
      <c r="N72" s="54" t="s">
        <v>118</v>
      </c>
    </row>
    <row r="73" spans="2:23" x14ac:dyDescent="0.25">
      <c r="B73" s="55" t="s">
        <v>61</v>
      </c>
      <c r="C73" s="17" t="s">
        <v>60</v>
      </c>
      <c r="D73" s="15">
        <v>4.0000000000000001E-3</v>
      </c>
      <c r="E73" s="682"/>
      <c r="F73" s="29">
        <f>$D$71*$D$73*E71</f>
        <v>0</v>
      </c>
      <c r="G73" s="682"/>
      <c r="H73" s="29">
        <f>$D$71*$D$73*G71</f>
        <v>0</v>
      </c>
      <c r="I73" s="682"/>
      <c r="J73" s="29">
        <f>$D$71*$D$73*I71</f>
        <v>0</v>
      </c>
      <c r="K73" s="682"/>
      <c r="L73" s="29">
        <f>$D$71*$D$73*K71</f>
        <v>290.98</v>
      </c>
      <c r="M73" s="682"/>
      <c r="N73" s="54"/>
    </row>
    <row r="74" spans="2:23" ht="15.75" thickBot="1" x14ac:dyDescent="0.3">
      <c r="B74" s="67" t="s">
        <v>67</v>
      </c>
      <c r="C74" s="52" t="s">
        <v>127</v>
      </c>
      <c r="D74" s="51">
        <v>0.01</v>
      </c>
      <c r="E74" s="196"/>
      <c r="F74" s="69">
        <f>$D$71*$D$74*E71</f>
        <v>0</v>
      </c>
      <c r="G74" s="68"/>
      <c r="H74" s="69">
        <f>$D$71*$D$74*G71</f>
        <v>0</v>
      </c>
      <c r="I74" s="68"/>
      <c r="J74" s="69">
        <f>$D$71*$D$74*I71</f>
        <v>0</v>
      </c>
      <c r="K74" s="68"/>
      <c r="L74" s="69">
        <f>$D$71*$D$74*K71</f>
        <v>727.45</v>
      </c>
      <c r="M74" s="68"/>
      <c r="N74" s="70"/>
    </row>
    <row r="75" spans="2:23" x14ac:dyDescent="0.25">
      <c r="D75" s="28">
        <v>2021</v>
      </c>
      <c r="E75">
        <v>1</v>
      </c>
      <c r="F75" s="27">
        <f>+F73+F72+F69+F65+F64+F61+F60+F57+F56+F53+F52+F49+F48+F45+F44+F41+F40+F37+F36+F34+F33</f>
        <v>0</v>
      </c>
      <c r="G75">
        <v>2022</v>
      </c>
      <c r="H75" s="27">
        <f>+H73+H72+H69+H65+H64+H61+H60+H57+H56+H53+H52+H49+H48+H45+H44+H41+H40+H37+H36+H34+H33</f>
        <v>0</v>
      </c>
      <c r="I75">
        <v>2023</v>
      </c>
      <c r="J75" s="27">
        <f>+J73+J72+J69+J65+J64+J61+J60+J57+J56+J53+J52+J49+J48+J45+J44+J41+J40+J37+J36+J34+J33</f>
        <v>1680.6379999999999</v>
      </c>
      <c r="K75">
        <v>2025</v>
      </c>
      <c r="L75" s="27">
        <f>+L73+L72+L69+L65+L64+L61+L60+L57+L56+L53+L52+L49+L48+L45+L44+L41+L40+L37+L36+L34+L33</f>
        <v>9955.5640000000003</v>
      </c>
    </row>
    <row r="76" spans="2:23" x14ac:dyDescent="0.25">
      <c r="E76">
        <v>2</v>
      </c>
      <c r="F76" s="27">
        <f>+F74+F70+F66+F62+F58+F54+F50+F46+F42+F38</f>
        <v>0</v>
      </c>
      <c r="H76" s="27">
        <f>+H74+H70+H66+H62+H58+H54+H50+H46+H42+H38</f>
        <v>0</v>
      </c>
      <c r="J76" s="27">
        <f>+J74+J70+J66+J62+J58+J54+J50+J46+J42+J38</f>
        <v>1811.47</v>
      </c>
      <c r="L76" s="27">
        <f>+L74+L70+L66+L62+L58+L54+L50+L46+L42+L38</f>
        <v>12334.72</v>
      </c>
    </row>
    <row r="79" spans="2:23" x14ac:dyDescent="0.25">
      <c r="D79" s="221">
        <v>2021</v>
      </c>
      <c r="E79" s="221">
        <v>2022</v>
      </c>
      <c r="F79" s="221">
        <v>2023</v>
      </c>
      <c r="G79" s="221">
        <v>2024</v>
      </c>
      <c r="H79" s="221">
        <v>2025</v>
      </c>
      <c r="I79" s="221">
        <v>2026</v>
      </c>
      <c r="J79" s="221">
        <v>2027</v>
      </c>
      <c r="K79" s="221">
        <v>2028</v>
      </c>
      <c r="L79" s="221">
        <v>2029</v>
      </c>
      <c r="M79" s="221">
        <v>2030</v>
      </c>
      <c r="N79" s="221">
        <v>2031</v>
      </c>
      <c r="O79" s="221">
        <v>2032</v>
      </c>
      <c r="P79" s="221">
        <v>2033</v>
      </c>
      <c r="Q79" s="221">
        <v>2034</v>
      </c>
      <c r="R79" s="221">
        <v>2035</v>
      </c>
      <c r="S79" s="221">
        <v>2036</v>
      </c>
      <c r="T79" s="221">
        <v>2037</v>
      </c>
      <c r="U79" s="221">
        <v>2038</v>
      </c>
      <c r="V79" s="221">
        <v>2039</v>
      </c>
      <c r="W79" s="221">
        <v>2040</v>
      </c>
    </row>
    <row r="80" spans="2:23" x14ac:dyDescent="0.25">
      <c r="D80" s="221" t="s">
        <v>59</v>
      </c>
      <c r="E80" s="221" t="s">
        <v>40</v>
      </c>
      <c r="F80" s="221" t="s">
        <v>39</v>
      </c>
      <c r="G80" s="221" t="s">
        <v>38</v>
      </c>
      <c r="H80" s="221" t="s">
        <v>58</v>
      </c>
      <c r="I80" s="221" t="s">
        <v>36</v>
      </c>
      <c r="J80" s="221" t="s">
        <v>35</v>
      </c>
      <c r="K80" s="221" t="s">
        <v>34</v>
      </c>
      <c r="L80" s="221" t="s">
        <v>33</v>
      </c>
      <c r="M80" s="221" t="s">
        <v>32</v>
      </c>
      <c r="N80" s="221" t="s">
        <v>31</v>
      </c>
      <c r="O80" s="221" t="s">
        <v>30</v>
      </c>
      <c r="P80" s="221" t="s">
        <v>57</v>
      </c>
      <c r="Q80" s="221" t="s">
        <v>56</v>
      </c>
      <c r="R80" s="221" t="s">
        <v>27</v>
      </c>
      <c r="S80" s="221" t="s">
        <v>55</v>
      </c>
      <c r="T80" s="221" t="s">
        <v>54</v>
      </c>
      <c r="U80" s="221" t="s">
        <v>24</v>
      </c>
      <c r="V80" s="221" t="s">
        <v>23</v>
      </c>
      <c r="W80" s="221" t="s">
        <v>53</v>
      </c>
    </row>
    <row r="81" spans="2:24" ht="15" customHeight="1" x14ac:dyDescent="0.25">
      <c r="B81">
        <v>1</v>
      </c>
      <c r="C81" s="5" t="s">
        <v>134</v>
      </c>
      <c r="D81" s="3"/>
      <c r="E81" s="3"/>
      <c r="F81" s="3"/>
      <c r="G81" s="3">
        <f>J75</f>
        <v>1680.6379999999999</v>
      </c>
      <c r="H81" s="3">
        <f>G81</f>
        <v>1680.6379999999999</v>
      </c>
      <c r="I81" s="3">
        <f>$J$75+$L$75</f>
        <v>11636.202000000001</v>
      </c>
      <c r="J81" s="3">
        <f t="shared" ref="J81:W81" si="2">$J$75+$L$75</f>
        <v>11636.202000000001</v>
      </c>
      <c r="K81" s="3">
        <f t="shared" si="2"/>
        <v>11636.202000000001</v>
      </c>
      <c r="L81" s="3">
        <f t="shared" si="2"/>
        <v>11636.202000000001</v>
      </c>
      <c r="M81" s="3">
        <f t="shared" si="2"/>
        <v>11636.202000000001</v>
      </c>
      <c r="N81" s="3">
        <f t="shared" si="2"/>
        <v>11636.202000000001</v>
      </c>
      <c r="O81" s="3">
        <f t="shared" si="2"/>
        <v>11636.202000000001</v>
      </c>
      <c r="P81" s="3">
        <f t="shared" si="2"/>
        <v>11636.202000000001</v>
      </c>
      <c r="Q81" s="3">
        <f t="shared" si="2"/>
        <v>11636.202000000001</v>
      </c>
      <c r="R81" s="3">
        <f t="shared" si="2"/>
        <v>11636.202000000001</v>
      </c>
      <c r="S81" s="3">
        <f t="shared" si="2"/>
        <v>11636.202000000001</v>
      </c>
      <c r="T81" s="3">
        <f t="shared" si="2"/>
        <v>11636.202000000001</v>
      </c>
      <c r="U81" s="3">
        <f t="shared" si="2"/>
        <v>11636.202000000001</v>
      </c>
      <c r="V81" s="3">
        <f t="shared" si="2"/>
        <v>11636.202000000001</v>
      </c>
      <c r="W81" s="3">
        <f t="shared" si="2"/>
        <v>11636.202000000001</v>
      </c>
    </row>
    <row r="82" spans="2:24" ht="15" customHeight="1" x14ac:dyDescent="0.25">
      <c r="B82">
        <v>2</v>
      </c>
      <c r="C82" s="5" t="s">
        <v>107</v>
      </c>
      <c r="D82" s="3"/>
      <c r="E82" s="3"/>
      <c r="F82" s="3"/>
      <c r="G82" s="3"/>
      <c r="H82" s="3"/>
      <c r="I82" s="3"/>
      <c r="J82" s="3"/>
      <c r="K82" s="3">
        <f>J76</f>
        <v>1811.47</v>
      </c>
      <c r="L82" s="3"/>
      <c r="M82" s="3">
        <f>L76</f>
        <v>12334.72</v>
      </c>
      <c r="N82" s="3"/>
      <c r="O82" s="3"/>
      <c r="P82" s="3">
        <f>J76</f>
        <v>1811.47</v>
      </c>
      <c r="Q82" s="3"/>
      <c r="R82" s="3">
        <f>L76</f>
        <v>12334.72</v>
      </c>
      <c r="S82" s="3"/>
      <c r="T82" s="3"/>
      <c r="U82" s="3">
        <f>J76</f>
        <v>1811.47</v>
      </c>
      <c r="V82" s="3"/>
      <c r="W82" s="3">
        <f>L76</f>
        <v>12334.72</v>
      </c>
      <c r="X82" s="230" t="s">
        <v>96</v>
      </c>
    </row>
    <row r="83" spans="2:24" ht="15" customHeight="1" x14ac:dyDescent="0.25">
      <c r="C83" s="5" t="s">
        <v>46</v>
      </c>
      <c r="D83" s="3">
        <f>D81+D82</f>
        <v>0</v>
      </c>
      <c r="E83" s="3">
        <f t="shared" ref="E83:W83" si="3">E81+E82</f>
        <v>0</v>
      </c>
      <c r="F83" s="3">
        <f t="shared" si="3"/>
        <v>0</v>
      </c>
      <c r="G83" s="3">
        <f t="shared" si="3"/>
        <v>1680.6379999999999</v>
      </c>
      <c r="H83" s="3">
        <f t="shared" si="3"/>
        <v>1680.6379999999999</v>
      </c>
      <c r="I83" s="3">
        <f t="shared" si="3"/>
        <v>11636.202000000001</v>
      </c>
      <c r="J83" s="3">
        <f t="shared" si="3"/>
        <v>11636.202000000001</v>
      </c>
      <c r="K83" s="3">
        <f t="shared" si="3"/>
        <v>13447.672</v>
      </c>
      <c r="L83" s="3">
        <f t="shared" si="3"/>
        <v>11636.202000000001</v>
      </c>
      <c r="M83" s="3">
        <f t="shared" si="3"/>
        <v>23970.921999999999</v>
      </c>
      <c r="N83" s="3">
        <f t="shared" si="3"/>
        <v>11636.202000000001</v>
      </c>
      <c r="O83" s="3">
        <f t="shared" si="3"/>
        <v>11636.202000000001</v>
      </c>
      <c r="P83" s="3">
        <f t="shared" si="3"/>
        <v>13447.672</v>
      </c>
      <c r="Q83" s="3">
        <f t="shared" si="3"/>
        <v>11636.202000000001</v>
      </c>
      <c r="R83" s="3">
        <f t="shared" si="3"/>
        <v>23970.921999999999</v>
      </c>
      <c r="S83" s="3">
        <f t="shared" si="3"/>
        <v>11636.202000000001</v>
      </c>
      <c r="T83" s="3">
        <f t="shared" si="3"/>
        <v>11636.202000000001</v>
      </c>
      <c r="U83" s="3">
        <f t="shared" si="3"/>
        <v>13447.672</v>
      </c>
      <c r="V83" s="3">
        <f t="shared" si="3"/>
        <v>11636.202000000001</v>
      </c>
      <c r="W83" s="3">
        <f t="shared" si="3"/>
        <v>23970.921999999999</v>
      </c>
      <c r="X83" s="230">
        <f>SUM(D82:W83)</f>
        <v>262781.44599999994</v>
      </c>
    </row>
    <row r="85" spans="2:24" ht="15.75" thickBot="1" x14ac:dyDescent="0.3"/>
    <row r="86" spans="2:24" ht="50.25" thickBot="1" x14ac:dyDescent="0.3">
      <c r="B86" s="24"/>
      <c r="C86" s="24" t="s">
        <v>122</v>
      </c>
      <c r="D86" s="24" t="s">
        <v>123</v>
      </c>
      <c r="E86" s="24">
        <v>2021</v>
      </c>
      <c r="F86" s="24" t="s">
        <v>79</v>
      </c>
      <c r="G86" s="24">
        <v>2022</v>
      </c>
      <c r="H86" s="24" t="s">
        <v>79</v>
      </c>
      <c r="I86" s="24">
        <v>2023</v>
      </c>
      <c r="J86" s="24" t="s">
        <v>79</v>
      </c>
      <c r="K86" s="24">
        <v>2025</v>
      </c>
      <c r="L86" s="24" t="s">
        <v>79</v>
      </c>
      <c r="M86" s="24" t="s">
        <v>124</v>
      </c>
      <c r="N86" s="24" t="s">
        <v>77</v>
      </c>
    </row>
    <row r="87" spans="2:24" ht="16.5" thickTop="1" thickBot="1" x14ac:dyDescent="0.3">
      <c r="B87" s="56" t="s">
        <v>157</v>
      </c>
      <c r="C87" s="32" t="s">
        <v>158</v>
      </c>
      <c r="D87" s="59">
        <f>'TABLA GENERAL FASE 1 Y 2'!H193</f>
        <v>18224</v>
      </c>
      <c r="E87" s="51">
        <f>'TABLA GENERAL FASE 1 Y 2'!J193</f>
        <v>0</v>
      </c>
      <c r="F87" s="60">
        <v>0</v>
      </c>
      <c r="G87" s="15">
        <f>'TABLA GENERAL FASE 1 Y 2'!L193</f>
        <v>0</v>
      </c>
      <c r="H87" s="60">
        <v>0</v>
      </c>
      <c r="I87" s="15">
        <f>'TABLA GENERAL FASE 1 Y 2'!N194</f>
        <v>0</v>
      </c>
      <c r="J87" s="60">
        <v>0</v>
      </c>
      <c r="K87" s="15">
        <f>'TABLA GENERAL FASE 1 Y 2'!P193</f>
        <v>1</v>
      </c>
      <c r="L87" s="60">
        <v>12296</v>
      </c>
      <c r="M87" s="18">
        <v>1</v>
      </c>
      <c r="N87" s="18">
        <v>12296</v>
      </c>
    </row>
    <row r="88" spans="2:24" ht="24.75" x14ac:dyDescent="0.25">
      <c r="B88" s="55" t="s">
        <v>63</v>
      </c>
      <c r="C88" s="23" t="s">
        <v>62</v>
      </c>
      <c r="D88" s="15">
        <v>4.0000000000000001E-3</v>
      </c>
      <c r="E88" s="681"/>
      <c r="F88" s="29">
        <f>$D$88*$D$87*E87</f>
        <v>0</v>
      </c>
      <c r="G88" s="681"/>
      <c r="H88" s="29">
        <f>$D$88*$D$87*G87</f>
        <v>0</v>
      </c>
      <c r="I88" s="681"/>
      <c r="J88" s="29">
        <f>$D$88*$D$87*I87</f>
        <v>0</v>
      </c>
      <c r="K88" s="681"/>
      <c r="L88" s="29">
        <f>$D$88*$D$87*K87</f>
        <v>72.896000000000001</v>
      </c>
      <c r="M88" s="681"/>
      <c r="N88" s="54" t="s">
        <v>118</v>
      </c>
    </row>
    <row r="89" spans="2:24" ht="15.75" thickBot="1" x14ac:dyDescent="0.3">
      <c r="B89" s="55" t="s">
        <v>61</v>
      </c>
      <c r="C89" s="17" t="s">
        <v>60</v>
      </c>
      <c r="D89" s="15">
        <v>4.0000000000000001E-3</v>
      </c>
      <c r="E89" s="682"/>
      <c r="F89" s="29">
        <f>$D$87*$D$88*E87</f>
        <v>0</v>
      </c>
      <c r="G89" s="682"/>
      <c r="H89" s="29">
        <f>$D$87*$D$88*G87</f>
        <v>0</v>
      </c>
      <c r="I89" s="682"/>
      <c r="J89" s="29">
        <f>$D$87*$D$88*I87</f>
        <v>0</v>
      </c>
      <c r="K89" s="682"/>
      <c r="L89" s="29">
        <f>$D$87*$D$88*K87</f>
        <v>72.896000000000001</v>
      </c>
      <c r="M89" s="682"/>
      <c r="N89" s="54"/>
    </row>
    <row r="90" spans="2:24" ht="31.5" thickTop="1" thickBot="1" x14ac:dyDescent="0.3">
      <c r="B90" s="56" t="s">
        <v>159</v>
      </c>
      <c r="C90" s="32" t="s">
        <v>160</v>
      </c>
      <c r="D90" s="59">
        <f>'TABLA GENERAL FASE 1 Y 2'!H194</f>
        <v>47215</v>
      </c>
      <c r="E90" s="51">
        <f>'TABLA GENERAL FASE 1 Y 2'!J194</f>
        <v>0</v>
      </c>
      <c r="F90" s="60">
        <v>0</v>
      </c>
      <c r="G90" s="15">
        <f>'TABLA GENERAL FASE 1 Y 2'!L194</f>
        <v>0</v>
      </c>
      <c r="H90" s="60">
        <v>0</v>
      </c>
      <c r="I90" s="15">
        <f>'TABLA GENERAL FASE 1 Y 2'!N194</f>
        <v>0</v>
      </c>
      <c r="J90" s="60">
        <v>0</v>
      </c>
      <c r="K90" s="15">
        <f>'TABLA GENERAL FASE 1 Y 2'!P194</f>
        <v>1</v>
      </c>
      <c r="L90" s="60">
        <v>47215</v>
      </c>
      <c r="M90" s="18">
        <v>1</v>
      </c>
      <c r="N90" s="18">
        <v>47215</v>
      </c>
    </row>
    <row r="91" spans="2:24" ht="24.75" x14ac:dyDescent="0.25">
      <c r="B91" s="55" t="s">
        <v>63</v>
      </c>
      <c r="C91" s="23" t="s">
        <v>62</v>
      </c>
      <c r="D91" s="15">
        <v>4.0000000000000001E-3</v>
      </c>
      <c r="E91" s="681"/>
      <c r="F91" s="29">
        <f>$D$90*$D$91*E90</f>
        <v>0</v>
      </c>
      <c r="G91" s="681"/>
      <c r="H91" s="29">
        <f>$D$90*$D$91*G90</f>
        <v>0</v>
      </c>
      <c r="I91" s="681"/>
      <c r="J91" s="29">
        <f>$D$90*$D$91*I90</f>
        <v>0</v>
      </c>
      <c r="K91" s="681"/>
      <c r="L91" s="29">
        <f>$D$90*$D$91*K90</f>
        <v>188.86</v>
      </c>
      <c r="M91" s="681"/>
      <c r="N91" s="54" t="s">
        <v>118</v>
      </c>
    </row>
    <row r="92" spans="2:24" ht="15.75" thickBot="1" x14ac:dyDescent="0.3">
      <c r="B92" s="55" t="s">
        <v>61</v>
      </c>
      <c r="C92" s="17" t="s">
        <v>60</v>
      </c>
      <c r="D92" s="15">
        <v>4.0000000000000001E-3</v>
      </c>
      <c r="E92" s="682"/>
      <c r="F92" s="29">
        <f>$D$90*$D$92*E90</f>
        <v>0</v>
      </c>
      <c r="G92" s="682"/>
      <c r="H92" s="29">
        <f>$D$90*$D$92*G90</f>
        <v>0</v>
      </c>
      <c r="I92" s="682"/>
      <c r="J92" s="29">
        <f>$D$90*$D$92*I90</f>
        <v>0</v>
      </c>
      <c r="K92" s="682"/>
      <c r="L92" s="29">
        <f>$D$90*$D$92*K90</f>
        <v>188.86</v>
      </c>
      <c r="M92" s="682"/>
      <c r="N92" s="54"/>
    </row>
    <row r="93" spans="2:24" ht="16.5" thickTop="1" thickBot="1" x14ac:dyDescent="0.3">
      <c r="B93" s="56" t="s">
        <v>161</v>
      </c>
      <c r="C93" s="32" t="s">
        <v>162</v>
      </c>
      <c r="D93" s="59">
        <f>'TABLA GENERAL FASE 1 Y 2'!H195</f>
        <v>108900</v>
      </c>
      <c r="E93" s="51">
        <f>'TABLA GENERAL FASE 1 Y 2'!J195</f>
        <v>0</v>
      </c>
      <c r="F93" s="60">
        <v>0</v>
      </c>
      <c r="G93" s="15">
        <f>'TABLA GENERAL FASE 1 Y 2'!L195</f>
        <v>0</v>
      </c>
      <c r="H93" s="60">
        <v>0</v>
      </c>
      <c r="I93" s="15">
        <f>'TABLA GENERAL FASE 1 Y 2'!N195</f>
        <v>0</v>
      </c>
      <c r="J93" s="60">
        <v>108900</v>
      </c>
      <c r="K93" s="15">
        <f>'TABLA GENERAL FASE 1 Y 2'!P195</f>
        <v>1</v>
      </c>
      <c r="L93" s="60">
        <v>108900</v>
      </c>
      <c r="M93" s="18">
        <v>2</v>
      </c>
      <c r="N93" s="18">
        <v>217800</v>
      </c>
    </row>
    <row r="94" spans="2:24" ht="24.75" x14ac:dyDescent="0.25">
      <c r="B94" s="55" t="s">
        <v>63</v>
      </c>
      <c r="C94" s="23" t="s">
        <v>62</v>
      </c>
      <c r="D94" s="15">
        <v>4.0000000000000001E-3</v>
      </c>
      <c r="E94" s="681"/>
      <c r="F94" s="29">
        <f>$D$93*$D$94*E93</f>
        <v>0</v>
      </c>
      <c r="G94" s="681"/>
      <c r="H94" s="29">
        <f>$D$93*$D$94*G93</f>
        <v>0</v>
      </c>
      <c r="I94" s="681"/>
      <c r="J94" s="29">
        <f>$D$93*$D$94*I93</f>
        <v>0</v>
      </c>
      <c r="K94" s="681"/>
      <c r="L94" s="29">
        <f>$D$93*$D$94*K93</f>
        <v>435.6</v>
      </c>
      <c r="M94" s="681"/>
      <c r="N94" s="54" t="s">
        <v>118</v>
      </c>
    </row>
    <row r="95" spans="2:24" x14ac:dyDescent="0.25">
      <c r="B95" s="55" t="s">
        <v>61</v>
      </c>
      <c r="C95" s="17" t="s">
        <v>60</v>
      </c>
      <c r="D95" s="15">
        <v>4.0000000000000001E-3</v>
      </c>
      <c r="E95" s="682"/>
      <c r="F95" s="29">
        <f>$D$93*$D$95*E93</f>
        <v>0</v>
      </c>
      <c r="G95" s="682"/>
      <c r="H95" s="29">
        <f>$D$93*$D$95*G93</f>
        <v>0</v>
      </c>
      <c r="I95" s="682"/>
      <c r="J95" s="29">
        <f>$D$93*$D$95*I94</f>
        <v>0</v>
      </c>
      <c r="K95" s="682"/>
      <c r="L95" s="29">
        <f>$D$93*$D$95*K93</f>
        <v>435.6</v>
      </c>
      <c r="M95" s="682"/>
      <c r="N95" s="54"/>
    </row>
    <row r="96" spans="2:24" ht="15.75" thickBot="1" x14ac:dyDescent="0.3">
      <c r="B96" s="67" t="s">
        <v>67</v>
      </c>
      <c r="C96" s="52" t="s">
        <v>127</v>
      </c>
      <c r="D96" s="51">
        <v>0.01</v>
      </c>
      <c r="E96" s="68"/>
      <c r="F96" s="29">
        <f>$D$93*$D$96*E93</f>
        <v>0</v>
      </c>
      <c r="G96" s="68"/>
      <c r="H96" s="29">
        <f>$D$93*$D$96*G93</f>
        <v>0</v>
      </c>
      <c r="I96" s="68"/>
      <c r="J96" s="29">
        <f>$D$93*$D$96*I93</f>
        <v>0</v>
      </c>
      <c r="K96" s="68"/>
      <c r="L96" s="29">
        <f>$D$93*$D$96*K93</f>
        <v>1089</v>
      </c>
      <c r="M96" s="68"/>
      <c r="N96" s="70"/>
    </row>
    <row r="97" spans="2:23" ht="31.5" thickTop="1" thickBot="1" x14ac:dyDescent="0.3">
      <c r="B97" s="56" t="s">
        <v>163</v>
      </c>
      <c r="C97" s="32" t="s">
        <v>164</v>
      </c>
      <c r="D97" s="59">
        <f>'TABLA GENERAL FASE 1 Y 2'!H196</f>
        <v>48964</v>
      </c>
      <c r="E97" s="51">
        <f>'TABLA GENERAL FASE 1 Y 2'!J196</f>
        <v>0</v>
      </c>
      <c r="F97" s="60">
        <v>0</v>
      </c>
      <c r="G97" s="15">
        <f>'TABLA GENERAL FASE 1 Y 2'!L196</f>
        <v>0</v>
      </c>
      <c r="H97" s="60">
        <v>0</v>
      </c>
      <c r="I97" s="15">
        <f>'TABLA GENERAL FASE 1 Y 2'!N196</f>
        <v>0</v>
      </c>
      <c r="J97" s="60">
        <v>48964</v>
      </c>
      <c r="K97" s="15">
        <f>'TABLA GENERAL FASE 1 Y 2'!P196</f>
        <v>1</v>
      </c>
      <c r="L97" s="60">
        <v>97928</v>
      </c>
      <c r="M97" s="18">
        <v>3</v>
      </c>
      <c r="N97" s="18">
        <v>146892</v>
      </c>
    </row>
    <row r="98" spans="2:23" ht="24.75" x14ac:dyDescent="0.25">
      <c r="B98" s="55" t="s">
        <v>63</v>
      </c>
      <c r="C98" s="23" t="s">
        <v>62</v>
      </c>
      <c r="D98" s="15">
        <v>4.0000000000000001E-3</v>
      </c>
      <c r="E98" s="681"/>
      <c r="F98" s="29">
        <f>$D$97*$D$98*E97</f>
        <v>0</v>
      </c>
      <c r="G98" s="681"/>
      <c r="H98" s="29">
        <f>$D$97*$D$98*G97</f>
        <v>0</v>
      </c>
      <c r="I98" s="681"/>
      <c r="J98" s="29">
        <f>$D$97*$D$98*I97</f>
        <v>0</v>
      </c>
      <c r="K98" s="681"/>
      <c r="L98" s="29">
        <f>$D$97*$D$98*K97</f>
        <v>195.85599999999999</v>
      </c>
      <c r="M98" s="681"/>
      <c r="N98" s="54" t="s">
        <v>118</v>
      </c>
    </row>
    <row r="99" spans="2:23" ht="15.75" thickBot="1" x14ac:dyDescent="0.3">
      <c r="B99" s="55" t="s">
        <v>61</v>
      </c>
      <c r="C99" s="17" t="s">
        <v>60</v>
      </c>
      <c r="D99" s="15">
        <v>4.0000000000000001E-3</v>
      </c>
      <c r="E99" s="682"/>
      <c r="F99" s="29">
        <f>$D$97*$D$99*E97</f>
        <v>0</v>
      </c>
      <c r="G99" s="682"/>
      <c r="H99" s="29">
        <f>$D$97*$D$99*G97</f>
        <v>0</v>
      </c>
      <c r="I99" s="682"/>
      <c r="J99" s="29">
        <f>$D$97*$D$99*I97</f>
        <v>0</v>
      </c>
      <c r="K99" s="682"/>
      <c r="L99" s="29">
        <f>$D$97*$D$99*K97</f>
        <v>195.85599999999999</v>
      </c>
      <c r="M99" s="682"/>
      <c r="N99" s="54"/>
    </row>
    <row r="100" spans="2:23" ht="16.5" thickTop="1" thickBot="1" x14ac:dyDescent="0.3">
      <c r="B100" s="56" t="s">
        <v>165</v>
      </c>
      <c r="C100" s="57" t="s">
        <v>166</v>
      </c>
      <c r="D100" s="71">
        <f>'TABLA GENERAL FASE 1 Y 2'!H197</f>
        <v>2692.3</v>
      </c>
      <c r="E100" s="51">
        <f>'TABLA GENERAL FASE 1 Y 2'!J197</f>
        <v>0</v>
      </c>
      <c r="F100" s="60">
        <v>0</v>
      </c>
      <c r="G100" s="15">
        <f>'TABLA GENERAL FASE 1 Y 2'!L197</f>
        <v>0</v>
      </c>
      <c r="H100" s="60">
        <v>0</v>
      </c>
      <c r="I100" s="51">
        <f>'TABLA GENERAL FASE 1 Y 2'!N197</f>
        <v>0</v>
      </c>
      <c r="J100" s="60">
        <v>0</v>
      </c>
      <c r="K100" s="51">
        <f>'TABLA GENERAL FASE 1 Y 2'!P197</f>
        <v>1</v>
      </c>
      <c r="L100" s="60">
        <v>2858</v>
      </c>
      <c r="M100" s="18">
        <v>1</v>
      </c>
      <c r="N100" s="18">
        <v>2858</v>
      </c>
    </row>
    <row r="101" spans="2:23" ht="24.75" x14ac:dyDescent="0.25">
      <c r="B101" s="55" t="s">
        <v>63</v>
      </c>
      <c r="C101" s="23" t="s">
        <v>62</v>
      </c>
      <c r="D101" s="15">
        <v>4.0000000000000001E-3</v>
      </c>
      <c r="E101" s="681"/>
      <c r="F101" s="29">
        <f>$D$100*$D$101*E100</f>
        <v>0</v>
      </c>
      <c r="G101" s="681"/>
      <c r="H101" s="29">
        <f>$D$100*$D$101*G100</f>
        <v>0</v>
      </c>
      <c r="I101" s="681"/>
      <c r="J101" s="29">
        <f>$D$100*$D$101*I100</f>
        <v>0</v>
      </c>
      <c r="K101" s="681"/>
      <c r="L101" s="29">
        <f>$D$100*$D$101*K100</f>
        <v>10.769200000000001</v>
      </c>
      <c r="M101" s="681"/>
      <c r="N101" s="54" t="s">
        <v>118</v>
      </c>
    </row>
    <row r="102" spans="2:23" x14ac:dyDescent="0.25">
      <c r="B102" s="55" t="s">
        <v>61</v>
      </c>
      <c r="C102" s="17" t="s">
        <v>60</v>
      </c>
      <c r="D102" s="15">
        <v>4.0000000000000001E-3</v>
      </c>
      <c r="E102" s="682"/>
      <c r="F102" s="29">
        <f>$D$100*$D$102*E100</f>
        <v>0</v>
      </c>
      <c r="G102" s="682"/>
      <c r="H102" s="29">
        <f>$D$100*$D$102*G100</f>
        <v>0</v>
      </c>
      <c r="I102" s="682"/>
      <c r="J102" s="29">
        <f>$D$100*$D$102*I100</f>
        <v>0</v>
      </c>
      <c r="K102" s="682"/>
      <c r="L102" s="29">
        <f>$D$100*$D$102*K100</f>
        <v>10.769200000000001</v>
      </c>
      <c r="M102" s="682"/>
      <c r="N102" s="54"/>
    </row>
    <row r="103" spans="2:23" ht="15.75" thickBot="1" x14ac:dyDescent="0.3">
      <c r="B103" s="67" t="s">
        <v>67</v>
      </c>
      <c r="C103" s="52" t="s">
        <v>127</v>
      </c>
      <c r="D103" s="51">
        <v>0.01</v>
      </c>
      <c r="E103" s="68"/>
      <c r="F103" s="29">
        <f>$D$100*$D$103*E100</f>
        <v>0</v>
      </c>
      <c r="G103" s="68"/>
      <c r="H103" s="29">
        <f>$D$100*$D$103*G100</f>
        <v>0</v>
      </c>
      <c r="I103" s="68"/>
      <c r="J103" s="29">
        <f>$D$100*$D$103*I100</f>
        <v>0</v>
      </c>
      <c r="K103" s="68"/>
      <c r="L103" s="29">
        <f>$D$100*$D$103*K100</f>
        <v>26.923000000000002</v>
      </c>
      <c r="M103" s="68"/>
      <c r="N103" s="70"/>
    </row>
    <row r="104" spans="2:23" x14ac:dyDescent="0.25">
      <c r="D104" s="28">
        <v>2021</v>
      </c>
      <c r="E104">
        <v>1</v>
      </c>
      <c r="F104" s="27">
        <f>F102+F101+F99+F98+F95+F94+F92+F91++F89+F88</f>
        <v>0</v>
      </c>
      <c r="G104">
        <v>2022</v>
      </c>
      <c r="H104" s="27">
        <f>H102+H101+H99+H98+H95+H94+H92+H91++H89+H88</f>
        <v>0</v>
      </c>
      <c r="I104">
        <v>2023</v>
      </c>
      <c r="J104" s="27">
        <f>J102+J101+J99+J98+J95+J94+J92+J91++J89+J88</f>
        <v>0</v>
      </c>
      <c r="K104">
        <v>2025</v>
      </c>
      <c r="L104" s="27">
        <f>L102+L101+L99+L98+L95+L94+L92+L91++L89+L88</f>
        <v>1807.9624000000003</v>
      </c>
    </row>
    <row r="105" spans="2:23" x14ac:dyDescent="0.25">
      <c r="E105">
        <v>2</v>
      </c>
      <c r="F105" s="27">
        <f>F103+F96</f>
        <v>0</v>
      </c>
      <c r="H105" s="27">
        <f>H103+H96</f>
        <v>0</v>
      </c>
      <c r="J105" s="27">
        <f>J103+J96</f>
        <v>0</v>
      </c>
      <c r="L105" s="27">
        <f>L103+L96</f>
        <v>1115.923</v>
      </c>
    </row>
    <row r="108" spans="2:23" x14ac:dyDescent="0.25">
      <c r="D108" s="221">
        <v>2021</v>
      </c>
      <c r="E108" s="221">
        <v>2022</v>
      </c>
      <c r="F108" s="221">
        <v>2023</v>
      </c>
      <c r="G108" s="221">
        <v>2024</v>
      </c>
      <c r="H108" s="221">
        <v>2025</v>
      </c>
      <c r="I108" s="221">
        <v>2026</v>
      </c>
      <c r="J108" s="221">
        <v>2027</v>
      </c>
      <c r="K108" s="221">
        <v>2028</v>
      </c>
      <c r="L108" s="221">
        <v>2029</v>
      </c>
      <c r="M108" s="221">
        <v>2030</v>
      </c>
      <c r="N108" s="221">
        <v>2031</v>
      </c>
      <c r="O108" s="221">
        <v>2032</v>
      </c>
      <c r="P108" s="221">
        <v>2033</v>
      </c>
      <c r="Q108" s="221">
        <v>2034</v>
      </c>
      <c r="R108" s="221">
        <v>2035</v>
      </c>
      <c r="S108" s="221">
        <v>2036</v>
      </c>
      <c r="T108" s="221">
        <v>2037</v>
      </c>
      <c r="U108" s="221">
        <v>2038</v>
      </c>
      <c r="V108" s="221">
        <v>2039</v>
      </c>
      <c r="W108" s="221">
        <v>2040</v>
      </c>
    </row>
    <row r="109" spans="2:23" x14ac:dyDescent="0.25">
      <c r="D109" s="221" t="s">
        <v>59</v>
      </c>
      <c r="E109" s="221" t="s">
        <v>40</v>
      </c>
      <c r="F109" s="221" t="s">
        <v>39</v>
      </c>
      <c r="G109" s="221" t="s">
        <v>38</v>
      </c>
      <c r="H109" s="221" t="s">
        <v>58</v>
      </c>
      <c r="I109" s="221" t="s">
        <v>36</v>
      </c>
      <c r="J109" s="221" t="s">
        <v>35</v>
      </c>
      <c r="K109" s="221" t="s">
        <v>34</v>
      </c>
      <c r="L109" s="221" t="s">
        <v>33</v>
      </c>
      <c r="M109" s="221" t="s">
        <v>32</v>
      </c>
      <c r="N109" s="221" t="s">
        <v>31</v>
      </c>
      <c r="O109" s="221" t="s">
        <v>30</v>
      </c>
      <c r="P109" s="221" t="s">
        <v>57</v>
      </c>
      <c r="Q109" s="221" t="s">
        <v>56</v>
      </c>
      <c r="R109" s="221" t="s">
        <v>27</v>
      </c>
      <c r="S109" s="221" t="s">
        <v>55</v>
      </c>
      <c r="T109" s="221" t="s">
        <v>54</v>
      </c>
      <c r="U109" s="221" t="s">
        <v>24</v>
      </c>
      <c r="V109" s="221" t="s">
        <v>23</v>
      </c>
      <c r="W109" s="221" t="s">
        <v>53</v>
      </c>
    </row>
    <row r="110" spans="2:23" ht="15" customHeight="1" x14ac:dyDescent="0.25">
      <c r="C110" s="5" t="s">
        <v>134</v>
      </c>
      <c r="D110" s="3"/>
      <c r="E110" s="3"/>
      <c r="F110" s="3">
        <f>H104</f>
        <v>0</v>
      </c>
      <c r="G110" s="3">
        <f>J104</f>
        <v>0</v>
      </c>
      <c r="H110" s="3">
        <f>G110</f>
        <v>0</v>
      </c>
      <c r="I110" s="3">
        <f>$J$104+$L$104</f>
        <v>1807.9624000000003</v>
      </c>
      <c r="J110" s="3">
        <f>$J$104+$L$104</f>
        <v>1807.9624000000003</v>
      </c>
      <c r="K110" s="3">
        <f t="shared" ref="K110:W110" si="4">$J$104+$L$104</f>
        <v>1807.9624000000003</v>
      </c>
      <c r="L110" s="3">
        <f t="shared" si="4"/>
        <v>1807.9624000000003</v>
      </c>
      <c r="M110" s="3">
        <f t="shared" si="4"/>
        <v>1807.9624000000003</v>
      </c>
      <c r="N110" s="3">
        <f t="shared" si="4"/>
        <v>1807.9624000000003</v>
      </c>
      <c r="O110" s="3">
        <f t="shared" si="4"/>
        <v>1807.9624000000003</v>
      </c>
      <c r="P110" s="3">
        <f t="shared" si="4"/>
        <v>1807.9624000000003</v>
      </c>
      <c r="Q110" s="3">
        <f t="shared" si="4"/>
        <v>1807.9624000000003</v>
      </c>
      <c r="R110" s="3">
        <f t="shared" si="4"/>
        <v>1807.9624000000003</v>
      </c>
      <c r="S110" s="3">
        <f t="shared" si="4"/>
        <v>1807.9624000000003</v>
      </c>
      <c r="T110" s="3">
        <f t="shared" si="4"/>
        <v>1807.9624000000003</v>
      </c>
      <c r="U110" s="3">
        <f t="shared" si="4"/>
        <v>1807.9624000000003</v>
      </c>
      <c r="V110" s="3">
        <f t="shared" si="4"/>
        <v>1807.9624000000003</v>
      </c>
      <c r="W110" s="3">
        <f t="shared" si="4"/>
        <v>1807.9624000000003</v>
      </c>
    </row>
    <row r="111" spans="2:23" ht="15" customHeight="1" x14ac:dyDescent="0.25">
      <c r="C111" s="5" t="s">
        <v>107</v>
      </c>
      <c r="D111" s="3"/>
      <c r="E111" s="3"/>
      <c r="F111" s="3"/>
      <c r="G111" s="3"/>
      <c r="H111" s="3"/>
      <c r="I111" s="3"/>
      <c r="J111" s="3"/>
      <c r="K111" s="3">
        <f>J105</f>
        <v>0</v>
      </c>
      <c r="L111" s="3">
        <f>L105</f>
        <v>1115.923</v>
      </c>
      <c r="M111" s="3"/>
      <c r="N111" s="3"/>
      <c r="O111" s="3"/>
      <c r="P111" s="3">
        <f>J105</f>
        <v>0</v>
      </c>
      <c r="Q111" s="3">
        <f>L105</f>
        <v>1115.923</v>
      </c>
      <c r="R111" s="3"/>
      <c r="S111" s="3"/>
      <c r="T111" s="3"/>
      <c r="U111" s="3">
        <f>P111</f>
        <v>0</v>
      </c>
      <c r="V111" s="3">
        <f>Q111</f>
        <v>1115.923</v>
      </c>
      <c r="W111" s="3"/>
    </row>
    <row r="112" spans="2:23" ht="15" customHeight="1" x14ac:dyDescent="0.25">
      <c r="C112" s="5" t="s">
        <v>46</v>
      </c>
      <c r="D112" s="3"/>
      <c r="E112" s="3"/>
      <c r="F112" s="3">
        <f>F110+F111</f>
        <v>0</v>
      </c>
      <c r="G112" s="3">
        <f>G110+G111</f>
        <v>0</v>
      </c>
      <c r="H112" s="3">
        <f t="shared" ref="H112:W112" si="5">H110+H111</f>
        <v>0</v>
      </c>
      <c r="I112" s="3">
        <f t="shared" si="5"/>
        <v>1807.9624000000003</v>
      </c>
      <c r="J112" s="3">
        <f t="shared" si="5"/>
        <v>1807.9624000000003</v>
      </c>
      <c r="K112" s="3">
        <f t="shared" si="5"/>
        <v>1807.9624000000003</v>
      </c>
      <c r="L112" s="3">
        <f t="shared" si="5"/>
        <v>2923.8854000000001</v>
      </c>
      <c r="M112" s="3">
        <f t="shared" si="5"/>
        <v>1807.9624000000003</v>
      </c>
      <c r="N112" s="3">
        <f t="shared" si="5"/>
        <v>1807.9624000000003</v>
      </c>
      <c r="O112" s="3">
        <f t="shared" si="5"/>
        <v>1807.9624000000003</v>
      </c>
      <c r="P112" s="3">
        <f t="shared" si="5"/>
        <v>1807.9624000000003</v>
      </c>
      <c r="Q112" s="3">
        <f t="shared" si="5"/>
        <v>2923.8854000000001</v>
      </c>
      <c r="R112" s="3">
        <f t="shared" si="5"/>
        <v>1807.9624000000003</v>
      </c>
      <c r="S112" s="3">
        <f t="shared" si="5"/>
        <v>1807.9624000000003</v>
      </c>
      <c r="T112" s="3">
        <f t="shared" si="5"/>
        <v>1807.9624000000003</v>
      </c>
      <c r="U112" s="3">
        <f t="shared" si="5"/>
        <v>1807.9624000000003</v>
      </c>
      <c r="V112" s="3">
        <f t="shared" si="5"/>
        <v>2923.8854000000001</v>
      </c>
      <c r="W112" s="3">
        <f t="shared" si="5"/>
        <v>1807.9624000000003</v>
      </c>
    </row>
    <row r="113" spans="24:24" x14ac:dyDescent="0.25">
      <c r="X113" s="230"/>
    </row>
    <row r="114" spans="24:24" x14ac:dyDescent="0.25">
      <c r="X114" s="230"/>
    </row>
  </sheetData>
  <mergeCells count="100">
    <mergeCell ref="E98:E99"/>
    <mergeCell ref="G98:G99"/>
    <mergeCell ref="I98:I99"/>
    <mergeCell ref="K98:K99"/>
    <mergeCell ref="M98:M99"/>
    <mergeCell ref="E101:E102"/>
    <mergeCell ref="G101:G102"/>
    <mergeCell ref="I101:I102"/>
    <mergeCell ref="K101:K102"/>
    <mergeCell ref="M101:M102"/>
    <mergeCell ref="E91:E92"/>
    <mergeCell ref="G91:G92"/>
    <mergeCell ref="I91:I92"/>
    <mergeCell ref="K91:K92"/>
    <mergeCell ref="M91:M92"/>
    <mergeCell ref="E94:E95"/>
    <mergeCell ref="G94:G95"/>
    <mergeCell ref="I94:I95"/>
    <mergeCell ref="K94:K95"/>
    <mergeCell ref="M94:M95"/>
    <mergeCell ref="E72:E73"/>
    <mergeCell ref="G72:G73"/>
    <mergeCell ref="I72:I73"/>
    <mergeCell ref="K72:K73"/>
    <mergeCell ref="M72:M73"/>
    <mergeCell ref="E88:E89"/>
    <mergeCell ref="G88:G89"/>
    <mergeCell ref="I88:I89"/>
    <mergeCell ref="K88:K89"/>
    <mergeCell ref="M88:M89"/>
    <mergeCell ref="E64:E65"/>
    <mergeCell ref="G64:G65"/>
    <mergeCell ref="I64:I65"/>
    <mergeCell ref="K64:K65"/>
    <mergeCell ref="M64:M65"/>
    <mergeCell ref="E68:E69"/>
    <mergeCell ref="G68:G69"/>
    <mergeCell ref="I68:I69"/>
    <mergeCell ref="K68:K69"/>
    <mergeCell ref="M68:M69"/>
    <mergeCell ref="E56:E57"/>
    <mergeCell ref="G56:G57"/>
    <mergeCell ref="I56:I57"/>
    <mergeCell ref="K56:K57"/>
    <mergeCell ref="M56:M57"/>
    <mergeCell ref="E60:E61"/>
    <mergeCell ref="G60:G61"/>
    <mergeCell ref="I60:I61"/>
    <mergeCell ref="K60:K61"/>
    <mergeCell ref="M60:M61"/>
    <mergeCell ref="E48:E49"/>
    <mergeCell ref="G48:G49"/>
    <mergeCell ref="I48:I49"/>
    <mergeCell ref="K48:K49"/>
    <mergeCell ref="M48:M49"/>
    <mergeCell ref="E52:E53"/>
    <mergeCell ref="G52:G53"/>
    <mergeCell ref="I52:I53"/>
    <mergeCell ref="K52:K53"/>
    <mergeCell ref="M52:M53"/>
    <mergeCell ref="E40:E41"/>
    <mergeCell ref="G40:G41"/>
    <mergeCell ref="I40:I41"/>
    <mergeCell ref="K40:K41"/>
    <mergeCell ref="M40:M41"/>
    <mergeCell ref="E44:E45"/>
    <mergeCell ref="G44:G45"/>
    <mergeCell ref="I44:I45"/>
    <mergeCell ref="K44:K45"/>
    <mergeCell ref="M44:M45"/>
    <mergeCell ref="E33:E34"/>
    <mergeCell ref="G33:G34"/>
    <mergeCell ref="I33:I34"/>
    <mergeCell ref="K33:K34"/>
    <mergeCell ref="M33:M34"/>
    <mergeCell ref="E36:E37"/>
    <mergeCell ref="G36:G37"/>
    <mergeCell ref="I36:I37"/>
    <mergeCell ref="K36:K37"/>
    <mergeCell ref="M36:M37"/>
    <mergeCell ref="E14:E15"/>
    <mergeCell ref="G14:G15"/>
    <mergeCell ref="I14:I15"/>
    <mergeCell ref="K14:K15"/>
    <mergeCell ref="M14:M15"/>
    <mergeCell ref="E18:E19"/>
    <mergeCell ref="G18:G19"/>
    <mergeCell ref="I18:I19"/>
    <mergeCell ref="K18:K19"/>
    <mergeCell ref="M18:M19"/>
    <mergeCell ref="E6:E7"/>
    <mergeCell ref="G6:G7"/>
    <mergeCell ref="I6:I7"/>
    <mergeCell ref="K6:K7"/>
    <mergeCell ref="M6:M7"/>
    <mergeCell ref="E10:E11"/>
    <mergeCell ref="G10:G11"/>
    <mergeCell ref="I10:I11"/>
    <mergeCell ref="K10:K11"/>
    <mergeCell ref="M10:M1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X109"/>
  <sheetViews>
    <sheetView topLeftCell="J10" zoomScale="90" zoomScaleNormal="90" workbookViewId="0">
      <selection activeCell="X21" sqref="X21:X24"/>
    </sheetView>
  </sheetViews>
  <sheetFormatPr baseColWidth="10" defaultRowHeight="15" x14ac:dyDescent="0.25"/>
  <cols>
    <col min="1" max="1" width="28.28515625" customWidth="1"/>
    <col min="2" max="2" width="6.7109375" bestFit="1" customWidth="1"/>
    <col min="3" max="3" width="36.42578125" bestFit="1" customWidth="1"/>
    <col min="4" max="5" width="12.42578125" bestFit="1" customWidth="1"/>
    <col min="6" max="6" width="14.7109375" bestFit="1" customWidth="1"/>
    <col min="7" max="9" width="13.28515625" bestFit="1" customWidth="1"/>
    <col min="10" max="10" width="14.7109375" bestFit="1" customWidth="1"/>
    <col min="11" max="11" width="13.28515625" bestFit="1" customWidth="1"/>
    <col min="12" max="12" width="14.7109375" bestFit="1" customWidth="1"/>
    <col min="13" max="24" width="13.28515625" bestFit="1" customWidth="1"/>
  </cols>
  <sheetData>
    <row r="3" spans="2:14" thickBot="1" x14ac:dyDescent="0.35"/>
    <row r="4" spans="2:14" ht="50.25" thickBot="1" x14ac:dyDescent="0.3">
      <c r="B4" s="24"/>
      <c r="C4" s="24" t="s">
        <v>167</v>
      </c>
      <c r="D4" s="24" t="s">
        <v>123</v>
      </c>
      <c r="E4" s="24">
        <v>2021</v>
      </c>
      <c r="F4" s="24" t="s">
        <v>79</v>
      </c>
      <c r="G4" s="24">
        <v>2022</v>
      </c>
      <c r="H4" s="24" t="s">
        <v>79</v>
      </c>
      <c r="I4" s="24">
        <v>2023</v>
      </c>
      <c r="J4" s="24" t="s">
        <v>79</v>
      </c>
      <c r="K4" s="24">
        <v>2025</v>
      </c>
      <c r="L4" s="24" t="s">
        <v>79</v>
      </c>
      <c r="M4" s="24" t="s">
        <v>124</v>
      </c>
      <c r="N4" s="24" t="s">
        <v>77</v>
      </c>
    </row>
    <row r="5" spans="2:14" ht="30.75" thickBot="1" x14ac:dyDescent="0.3">
      <c r="B5" s="45" t="s">
        <v>168</v>
      </c>
      <c r="C5" s="48" t="s">
        <v>169</v>
      </c>
      <c r="D5" s="72">
        <f>'TABLA GENERAL FASE 1 Y 2'!H202</f>
        <v>90850</v>
      </c>
      <c r="E5" s="47">
        <f>'TABLA GENERAL FASE 1 Y 2'!J202</f>
        <v>3</v>
      </c>
      <c r="F5" s="60">
        <f>E5*D5</f>
        <v>272550</v>
      </c>
      <c r="G5" s="47">
        <f>'TABLA GENERAL FASE 1 Y 2'!L202</f>
        <v>2</v>
      </c>
      <c r="H5" s="60">
        <f>G5*D5</f>
        <v>181700</v>
      </c>
      <c r="I5" s="47">
        <f>'TABLA GENERAL FASE 1 Y 2'!N202</f>
        <v>0</v>
      </c>
      <c r="J5" s="60">
        <f>I5*D5</f>
        <v>0</v>
      </c>
      <c r="K5" s="47">
        <f>'TABLA GENERAL FASE 1 Y 2'!P202</f>
        <v>0</v>
      </c>
      <c r="L5" s="73">
        <v>8540</v>
      </c>
      <c r="M5" s="74">
        <v>1</v>
      </c>
      <c r="N5" s="75">
        <v>8540</v>
      </c>
    </row>
    <row r="6" spans="2:14" ht="25.5" thickTop="1" x14ac:dyDescent="0.25">
      <c r="B6" s="62" t="s">
        <v>63</v>
      </c>
      <c r="C6" s="63" t="s">
        <v>62</v>
      </c>
      <c r="D6" s="15">
        <v>4.0000000000000002E-4</v>
      </c>
      <c r="E6" s="681"/>
      <c r="F6" s="29">
        <f>$D$6*$D$5*E5</f>
        <v>109.02000000000001</v>
      </c>
      <c r="G6" s="681"/>
      <c r="H6" s="29">
        <f>$D$6*$D$5*G5</f>
        <v>72.680000000000007</v>
      </c>
      <c r="I6" s="681"/>
      <c r="J6" s="29">
        <f>$D$6*$D$5*I5</f>
        <v>0</v>
      </c>
      <c r="K6" s="681"/>
      <c r="L6" s="76">
        <f>$D$6*$D$5*K5</f>
        <v>0</v>
      </c>
      <c r="M6" s="688"/>
      <c r="N6" s="77"/>
    </row>
    <row r="7" spans="2:14" x14ac:dyDescent="0.25">
      <c r="B7" s="62" t="s">
        <v>61</v>
      </c>
      <c r="C7" s="16" t="s">
        <v>60</v>
      </c>
      <c r="D7" s="15">
        <v>2.0000000000000001E-4</v>
      </c>
      <c r="E7" s="682"/>
      <c r="F7" s="29">
        <f>$D$7*$D$5*E5</f>
        <v>54.510000000000005</v>
      </c>
      <c r="G7" s="682"/>
      <c r="H7" s="29">
        <f>$D$7*$D$5*G5</f>
        <v>36.340000000000003</v>
      </c>
      <c r="I7" s="682"/>
      <c r="J7" s="29">
        <f>$D$7*$D$5*I5</f>
        <v>0</v>
      </c>
      <c r="K7" s="682"/>
      <c r="L7" s="76">
        <f>$D$7*$D$5*K5</f>
        <v>0</v>
      </c>
      <c r="M7" s="689"/>
      <c r="N7" s="77"/>
    </row>
    <row r="8" spans="2:14" ht="15.75" thickBot="1" x14ac:dyDescent="0.3">
      <c r="B8" s="78" t="s">
        <v>67</v>
      </c>
      <c r="C8" s="16" t="s">
        <v>170</v>
      </c>
      <c r="D8" s="15">
        <f>0.018</f>
        <v>1.7999999999999999E-2</v>
      </c>
      <c r="E8" s="65"/>
      <c r="F8" s="79">
        <f>D5*E5*D8</f>
        <v>4905.8999999999996</v>
      </c>
      <c r="G8" s="65"/>
      <c r="H8" s="29">
        <f>$D$8*$D$5*G5</f>
        <v>3270.6</v>
      </c>
      <c r="I8" s="65"/>
      <c r="J8" s="29">
        <f>$D$8*$D$5*I5</f>
        <v>0</v>
      </c>
      <c r="K8" s="65"/>
      <c r="L8" s="29">
        <f>$D$8*$D$5*K5</f>
        <v>0</v>
      </c>
      <c r="M8" s="80"/>
      <c r="N8" s="77"/>
    </row>
    <row r="9" spans="2:14" ht="31.5" thickTop="1" thickBot="1" x14ac:dyDescent="0.3">
      <c r="B9" s="45" t="s">
        <v>171</v>
      </c>
      <c r="C9" s="32" t="s">
        <v>172</v>
      </c>
      <c r="D9" s="59">
        <f>'TABLA GENERAL FASE 1 Y 2'!H203</f>
        <v>4932</v>
      </c>
      <c r="E9" s="15">
        <f>'TABLA GENERAL FASE 1 Y 2'!J203</f>
        <v>3</v>
      </c>
      <c r="F9" s="60">
        <f>E9*D9</f>
        <v>14796</v>
      </c>
      <c r="G9" s="15">
        <f>'TABLA GENERAL FASE 1 Y 2'!L203</f>
        <v>4</v>
      </c>
      <c r="H9" s="60">
        <f>G9*D9</f>
        <v>19728</v>
      </c>
      <c r="I9" s="15">
        <f>'TABLA GENERAL FASE 1 Y 2'!N203</f>
        <v>0</v>
      </c>
      <c r="J9" s="60">
        <f>I9*D9</f>
        <v>0</v>
      </c>
      <c r="K9" s="15">
        <f>'TABLA GENERAL FASE 1 Y 2'!P203</f>
        <v>0</v>
      </c>
      <c r="L9" s="73">
        <f>K9*D9</f>
        <v>0</v>
      </c>
      <c r="M9" s="81">
        <v>2</v>
      </c>
      <c r="N9" s="82">
        <v>204572</v>
      </c>
    </row>
    <row r="10" spans="2:14" ht="25.5" thickTop="1" x14ac:dyDescent="0.25">
      <c r="B10" s="62" t="s">
        <v>63</v>
      </c>
      <c r="C10" s="63" t="s">
        <v>62</v>
      </c>
      <c r="D10" s="15">
        <v>4.0000000000000001E-3</v>
      </c>
      <c r="E10" s="681"/>
      <c r="F10" s="29">
        <f>$D$10*$D$9*E9</f>
        <v>59.184000000000005</v>
      </c>
      <c r="G10" s="681"/>
      <c r="H10" s="29">
        <f>$D$10*$D$9*G9</f>
        <v>78.912000000000006</v>
      </c>
      <c r="I10" s="681"/>
      <c r="J10" s="29">
        <f>$D$10*$D$9*I9</f>
        <v>0</v>
      </c>
      <c r="K10" s="681"/>
      <c r="L10" s="76">
        <f>$D$10*$D$9*K9</f>
        <v>0</v>
      </c>
      <c r="M10" s="688"/>
      <c r="N10" s="77"/>
    </row>
    <row r="11" spans="2:14" ht="15.75" thickBot="1" x14ac:dyDescent="0.3">
      <c r="B11" s="62" t="s">
        <v>61</v>
      </c>
      <c r="C11" s="16" t="s">
        <v>60</v>
      </c>
      <c r="D11" s="15">
        <v>4.0000000000000001E-3</v>
      </c>
      <c r="E11" s="682"/>
      <c r="F11" s="29">
        <f>$D$11*$D$9*E9</f>
        <v>59.184000000000005</v>
      </c>
      <c r="G11" s="682"/>
      <c r="H11" s="29">
        <f>$D$11*$D$9*G9</f>
        <v>78.912000000000006</v>
      </c>
      <c r="I11" s="682"/>
      <c r="J11" s="29">
        <f>$D$11*$D$9*I9</f>
        <v>0</v>
      </c>
      <c r="K11" s="682"/>
      <c r="L11" s="76">
        <f>$D$11*$D$9*K9</f>
        <v>0</v>
      </c>
      <c r="M11" s="689"/>
      <c r="N11" s="77"/>
    </row>
    <row r="12" spans="2:14" ht="31.5" thickTop="1" thickBot="1" x14ac:dyDescent="0.3">
      <c r="B12" s="45" t="s">
        <v>173</v>
      </c>
      <c r="C12" s="32" t="s">
        <v>174</v>
      </c>
      <c r="D12" s="59">
        <f>'TABLA GENERAL FASE 1 Y 2'!H204</f>
        <v>92</v>
      </c>
      <c r="E12" s="51">
        <f>'TABLA GENERAL FASE 1 Y 2'!J204</f>
        <v>6</v>
      </c>
      <c r="F12" s="60">
        <f>E12*D12</f>
        <v>552</v>
      </c>
      <c r="G12" s="15">
        <f>'TABLA GENERAL FASE 1 Y 2'!L204</f>
        <v>8</v>
      </c>
      <c r="H12" s="60">
        <f>G12*F12</f>
        <v>4416</v>
      </c>
      <c r="I12" s="15">
        <f>'TABLA GENERAL FASE 1 Y 2'!N204</f>
        <v>0</v>
      </c>
      <c r="J12" s="60">
        <f>I12*H12</f>
        <v>0</v>
      </c>
      <c r="K12" s="15">
        <f>'TABLA GENERAL FASE 1 Y 2'!P204</f>
        <v>0</v>
      </c>
      <c r="L12" s="73">
        <f>K12*J12</f>
        <v>0</v>
      </c>
      <c r="M12" s="81">
        <v>2</v>
      </c>
      <c r="N12" s="82">
        <v>57062</v>
      </c>
    </row>
    <row r="13" spans="2:14" ht="15.75" thickBot="1" x14ac:dyDescent="0.3">
      <c r="B13" s="62" t="s">
        <v>61</v>
      </c>
      <c r="C13" s="16" t="s">
        <v>175</v>
      </c>
      <c r="D13" s="15">
        <v>4.0000000000000001E-3</v>
      </c>
      <c r="E13" s="65"/>
      <c r="F13" s="29">
        <f>$D$13*$D$12*E12</f>
        <v>2.2080000000000002</v>
      </c>
      <c r="G13" s="65"/>
      <c r="H13" s="29">
        <f>$D$13*$D$12*G12</f>
        <v>2.944</v>
      </c>
      <c r="I13" s="65"/>
      <c r="J13" s="29">
        <f>$D$13*$D$12*I12</f>
        <v>0</v>
      </c>
      <c r="K13" s="65"/>
      <c r="L13" s="76">
        <f>$D$13*$D$12*K12</f>
        <v>0</v>
      </c>
      <c r="M13" s="80"/>
      <c r="N13" s="83"/>
    </row>
    <row r="14" spans="2:14" ht="16.5" thickTop="1" thickBot="1" x14ac:dyDescent="0.3">
      <c r="B14" s="45" t="s">
        <v>176</v>
      </c>
      <c r="C14" s="32" t="s">
        <v>177</v>
      </c>
      <c r="D14" s="59">
        <f>'TABLA GENERAL FASE 1 Y 2'!H205</f>
        <v>65</v>
      </c>
      <c r="E14" s="51">
        <f>'TABLA GENERAL FASE 1 Y 2'!J205</f>
        <v>3</v>
      </c>
      <c r="F14" s="29">
        <f>$E$14*D14</f>
        <v>195</v>
      </c>
      <c r="G14" s="15">
        <f>'(1) CCV C41'!C7+'(1) CCV C41'!C10+'(2) CCV Equip. Militar'!E23+'(2) CCV Equip. Militar'!E53+'(3) CCV Infiltración'!E32+'(3) CCV Infiltración'!E53+'(4) CCV Logística'!F28+'(4) CCV Logística'!F83+'(5) CCV Obt. Info.'!F112</f>
        <v>78685.87</v>
      </c>
      <c r="H14" s="29">
        <f>$E$14*F14</f>
        <v>585</v>
      </c>
      <c r="I14" s="15">
        <f>'TABLA GENERAL FASE 1 Y 2'!N205</f>
        <v>0</v>
      </c>
      <c r="J14" s="29">
        <f>$E$14*H14</f>
        <v>1755</v>
      </c>
      <c r="K14" s="15">
        <f>'TABLA GENERAL FASE 1 Y 2'!P205</f>
        <v>0</v>
      </c>
      <c r="L14" s="76">
        <f>$E$14*J14</f>
        <v>5265</v>
      </c>
      <c r="M14" s="81">
        <v>4</v>
      </c>
      <c r="N14" s="82">
        <v>244828</v>
      </c>
    </row>
    <row r="15" spans="2:14" ht="24.6" thickBot="1" x14ac:dyDescent="0.35">
      <c r="B15" s="84" t="s">
        <v>63</v>
      </c>
      <c r="C15" s="85" t="s">
        <v>62</v>
      </c>
      <c r="D15" s="51">
        <v>1E-3</v>
      </c>
      <c r="E15" s="51"/>
      <c r="F15" s="69">
        <f>$D$15*$D$14*E14</f>
        <v>0.19500000000000001</v>
      </c>
      <c r="G15" s="51"/>
      <c r="H15" s="69">
        <f>$D$15*$D$14*G14</f>
        <v>5114.5815499999999</v>
      </c>
      <c r="I15" s="51"/>
      <c r="J15" s="69">
        <f>$D$15*$D$14*I14</f>
        <v>0</v>
      </c>
      <c r="K15" s="51"/>
      <c r="L15" s="86">
        <f>$D$15*$D$14*K14</f>
        <v>0</v>
      </c>
      <c r="M15" s="87"/>
      <c r="N15" s="88"/>
    </row>
    <row r="16" spans="2:14" ht="14.45" x14ac:dyDescent="0.3">
      <c r="D16" s="28">
        <v>2021</v>
      </c>
      <c r="E16">
        <v>1</v>
      </c>
      <c r="F16" s="27">
        <f>F15+F13+F11+F10+F7+F6</f>
        <v>284.30100000000004</v>
      </c>
      <c r="G16">
        <v>2022</v>
      </c>
      <c r="H16" s="27">
        <f>H15+H13+H11+H10+H7+H6</f>
        <v>5384.3695500000013</v>
      </c>
      <c r="I16">
        <v>2023</v>
      </c>
      <c r="J16" s="27">
        <f>J15+J13+J11+J10+J7+J6</f>
        <v>0</v>
      </c>
      <c r="K16">
        <v>2025</v>
      </c>
      <c r="L16" s="27">
        <f>L15+L13+L11+L10+L7+L6</f>
        <v>0</v>
      </c>
    </row>
    <row r="17" spans="3:24" ht="14.45" x14ac:dyDescent="0.3">
      <c r="D17" s="35"/>
      <c r="E17">
        <v>2</v>
      </c>
      <c r="F17" s="27">
        <f>F8</f>
        <v>4905.8999999999996</v>
      </c>
      <c r="H17" s="27">
        <f>H8</f>
        <v>3270.6</v>
      </c>
      <c r="J17" s="27">
        <f>J8</f>
        <v>0</v>
      </c>
      <c r="L17" s="27">
        <f>L8</f>
        <v>0</v>
      </c>
    </row>
    <row r="18" spans="3:24" ht="14.45" x14ac:dyDescent="0.3">
      <c r="E18">
        <v>3</v>
      </c>
      <c r="F18" s="27">
        <f>F15</f>
        <v>0.19500000000000001</v>
      </c>
      <c r="H18" s="27">
        <f>H15</f>
        <v>5114.5815499999999</v>
      </c>
      <c r="J18" s="27">
        <f>J15</f>
        <v>0</v>
      </c>
      <c r="L18" s="27">
        <f>L15</f>
        <v>0</v>
      </c>
    </row>
    <row r="19" spans="3:24" thickBot="1" x14ac:dyDescent="0.35"/>
    <row r="20" spans="3:24" ht="16.5" customHeight="1" x14ac:dyDescent="0.25">
      <c r="C20" s="690" t="s">
        <v>178</v>
      </c>
      <c r="D20" s="221">
        <v>2021</v>
      </c>
      <c r="E20" s="221">
        <v>2022</v>
      </c>
      <c r="F20" s="221">
        <v>2023</v>
      </c>
      <c r="G20" s="221">
        <v>2024</v>
      </c>
      <c r="H20" s="221">
        <v>2025</v>
      </c>
      <c r="I20" s="221">
        <v>2026</v>
      </c>
      <c r="J20" s="221">
        <v>2027</v>
      </c>
      <c r="K20" s="221">
        <v>2028</v>
      </c>
      <c r="L20" s="221">
        <v>2029</v>
      </c>
      <c r="M20" s="221">
        <v>2030</v>
      </c>
      <c r="N20" s="221">
        <v>2031</v>
      </c>
      <c r="O20" s="221">
        <v>2032</v>
      </c>
      <c r="P20" s="221">
        <v>2033</v>
      </c>
      <c r="Q20" s="221">
        <v>2034</v>
      </c>
      <c r="R20" s="221">
        <v>2035</v>
      </c>
      <c r="S20" s="221">
        <v>2036</v>
      </c>
      <c r="T20" s="221">
        <v>2037</v>
      </c>
      <c r="U20" s="221">
        <v>2038</v>
      </c>
      <c r="V20" s="221">
        <v>2039</v>
      </c>
      <c r="W20" s="221">
        <v>2040</v>
      </c>
    </row>
    <row r="21" spans="3:24" x14ac:dyDescent="0.25">
      <c r="C21" s="691"/>
      <c r="D21" s="221" t="s">
        <v>59</v>
      </c>
      <c r="E21" s="221" t="s">
        <v>40</v>
      </c>
      <c r="F21" s="221" t="s">
        <v>39</v>
      </c>
      <c r="G21" s="221" t="s">
        <v>38</v>
      </c>
      <c r="H21" s="221" t="s">
        <v>58</v>
      </c>
      <c r="I21" s="221" t="s">
        <v>36</v>
      </c>
      <c r="J21" s="221" t="s">
        <v>35</v>
      </c>
      <c r="K21" s="221" t="s">
        <v>34</v>
      </c>
      <c r="L21" s="221" t="s">
        <v>33</v>
      </c>
      <c r="M21" s="221" t="s">
        <v>32</v>
      </c>
      <c r="N21" s="221" t="s">
        <v>31</v>
      </c>
      <c r="O21" s="221" t="s">
        <v>30</v>
      </c>
      <c r="P21" s="221" t="s">
        <v>57</v>
      </c>
      <c r="Q21" s="221" t="s">
        <v>56</v>
      </c>
      <c r="R21" s="221" t="s">
        <v>27</v>
      </c>
      <c r="S21" s="221" t="s">
        <v>55</v>
      </c>
      <c r="T21" s="221" t="s">
        <v>54</v>
      </c>
      <c r="U21" s="221" t="s">
        <v>24</v>
      </c>
      <c r="V21" s="221" t="s">
        <v>23</v>
      </c>
      <c r="W21" s="221" t="s">
        <v>53</v>
      </c>
    </row>
    <row r="22" spans="3:24" ht="15" customHeight="1" x14ac:dyDescent="0.3">
      <c r="C22" s="5" t="s">
        <v>134</v>
      </c>
      <c r="D22" s="3"/>
      <c r="E22" s="3">
        <f>F16</f>
        <v>284.30100000000004</v>
      </c>
      <c r="F22" s="3">
        <f>F16+H16</f>
        <v>5668.6705500000016</v>
      </c>
      <c r="G22" s="3">
        <f>J16+H16+F16</f>
        <v>5668.6705500000016</v>
      </c>
      <c r="H22" s="3">
        <f>G22</f>
        <v>5668.6705500000016</v>
      </c>
      <c r="I22" s="3">
        <f>$F$16+$H$16+$J$16+$L$16</f>
        <v>5668.6705500000016</v>
      </c>
      <c r="J22" s="3">
        <f t="shared" ref="J22:W22" si="0">$F$16+$H$16+$J$16+$L$16</f>
        <v>5668.6705500000016</v>
      </c>
      <c r="K22" s="3">
        <f t="shared" si="0"/>
        <v>5668.6705500000016</v>
      </c>
      <c r="L22" s="3">
        <f t="shared" si="0"/>
        <v>5668.6705500000016</v>
      </c>
      <c r="M22" s="3">
        <f t="shared" si="0"/>
        <v>5668.6705500000016</v>
      </c>
      <c r="N22" s="3">
        <f t="shared" si="0"/>
        <v>5668.6705500000016</v>
      </c>
      <c r="O22" s="3">
        <f t="shared" si="0"/>
        <v>5668.6705500000016</v>
      </c>
      <c r="P22" s="3">
        <f t="shared" si="0"/>
        <v>5668.6705500000016</v>
      </c>
      <c r="Q22" s="3">
        <f t="shared" si="0"/>
        <v>5668.6705500000016</v>
      </c>
      <c r="R22" s="3">
        <f t="shared" si="0"/>
        <v>5668.6705500000016</v>
      </c>
      <c r="S22" s="3">
        <f t="shared" si="0"/>
        <v>5668.6705500000016</v>
      </c>
      <c r="T22" s="3">
        <f t="shared" si="0"/>
        <v>5668.6705500000016</v>
      </c>
      <c r="U22" s="3">
        <f t="shared" si="0"/>
        <v>5668.6705500000016</v>
      </c>
      <c r="V22" s="3">
        <f t="shared" si="0"/>
        <v>5668.6705500000016</v>
      </c>
      <c r="W22" s="3">
        <f t="shared" si="0"/>
        <v>5668.6705500000016</v>
      </c>
    </row>
    <row r="23" spans="3:24" ht="15" customHeight="1" x14ac:dyDescent="0.25">
      <c r="C23" s="5" t="s">
        <v>179</v>
      </c>
      <c r="D23" s="3"/>
      <c r="E23" s="3"/>
      <c r="F23" s="3"/>
      <c r="G23" s="3"/>
      <c r="H23" s="3"/>
      <c r="I23" s="3">
        <f>$F$17</f>
        <v>4905.8999999999996</v>
      </c>
      <c r="J23" s="3">
        <f>$H$17</f>
        <v>3270.6</v>
      </c>
      <c r="K23" s="3">
        <f>$J$17</f>
        <v>0</v>
      </c>
      <c r="L23" s="3"/>
      <c r="M23" s="3"/>
      <c r="N23" s="3">
        <f>$F$17</f>
        <v>4905.8999999999996</v>
      </c>
      <c r="O23" s="3">
        <f>$H$17</f>
        <v>3270.6</v>
      </c>
      <c r="P23" s="3">
        <f>$J$17</f>
        <v>0</v>
      </c>
      <c r="Q23" s="3"/>
      <c r="R23" s="3"/>
      <c r="S23" s="3">
        <f>$F$17</f>
        <v>4905.8999999999996</v>
      </c>
      <c r="T23" s="3">
        <f>$H$17</f>
        <v>3270.6</v>
      </c>
      <c r="U23" s="3">
        <f>$J$17</f>
        <v>0</v>
      </c>
      <c r="V23" s="3"/>
      <c r="W23" s="3"/>
    </row>
    <row r="24" spans="3:24" ht="15" customHeight="1" x14ac:dyDescent="0.25">
      <c r="C24" s="90" t="s">
        <v>180</v>
      </c>
      <c r="D24" s="3"/>
      <c r="E24" s="3"/>
      <c r="F24" s="3"/>
      <c r="G24" s="3">
        <f>F18</f>
        <v>0.19500000000000001</v>
      </c>
      <c r="H24" s="3">
        <f>H18</f>
        <v>5114.5815499999999</v>
      </c>
      <c r="I24" s="3">
        <f>J18</f>
        <v>0</v>
      </c>
      <c r="J24" s="3">
        <f>F18</f>
        <v>0.19500000000000001</v>
      </c>
      <c r="K24" s="3">
        <f>L18+H24</f>
        <v>5114.5815499999999</v>
      </c>
      <c r="L24" s="3">
        <f>J18</f>
        <v>0</v>
      </c>
      <c r="M24" s="3">
        <f>J24</f>
        <v>0.19500000000000001</v>
      </c>
      <c r="N24" s="3">
        <f>M24+L18</f>
        <v>0.19500000000000001</v>
      </c>
      <c r="O24" s="3">
        <f>J18</f>
        <v>0</v>
      </c>
      <c r="P24" s="3">
        <f>M24</f>
        <v>0.19500000000000001</v>
      </c>
      <c r="Q24" s="3">
        <f>N24+L18</f>
        <v>0.19500000000000001</v>
      </c>
      <c r="R24" s="3">
        <f>J18</f>
        <v>0</v>
      </c>
      <c r="S24" s="3">
        <f>P24</f>
        <v>0.19500000000000001</v>
      </c>
      <c r="T24" s="3">
        <f>Q24+L18</f>
        <v>0.19500000000000001</v>
      </c>
      <c r="U24" s="3">
        <f>J18</f>
        <v>0</v>
      </c>
      <c r="V24" s="3">
        <f>S24</f>
        <v>0.19500000000000001</v>
      </c>
      <c r="W24" s="3">
        <f>T24+L18</f>
        <v>0.19500000000000001</v>
      </c>
    </row>
    <row r="25" spans="3:24" ht="15" customHeight="1" x14ac:dyDescent="0.3">
      <c r="C25" s="91" t="s">
        <v>46</v>
      </c>
      <c r="D25" s="92"/>
      <c r="E25" s="92"/>
      <c r="F25" s="92">
        <f>SUM(F22:F24)</f>
        <v>5668.6705500000016</v>
      </c>
      <c r="G25" s="92">
        <f t="shared" ref="G25:W25" si="1">SUM(G22:G24)</f>
        <v>5668.8655500000013</v>
      </c>
      <c r="H25" s="92">
        <f t="shared" si="1"/>
        <v>10783.252100000002</v>
      </c>
      <c r="I25" s="92">
        <f t="shared" si="1"/>
        <v>10574.57055</v>
      </c>
      <c r="J25" s="92">
        <f t="shared" si="1"/>
        <v>8939.4655500000008</v>
      </c>
      <c r="K25" s="92">
        <f t="shared" si="1"/>
        <v>10783.252100000002</v>
      </c>
      <c r="L25" s="92">
        <f t="shared" si="1"/>
        <v>5668.6705500000016</v>
      </c>
      <c r="M25" s="92">
        <f t="shared" si="1"/>
        <v>5668.8655500000013</v>
      </c>
      <c r="N25" s="92">
        <f t="shared" si="1"/>
        <v>10574.76555</v>
      </c>
      <c r="O25" s="92">
        <f t="shared" si="1"/>
        <v>8939.2705500000011</v>
      </c>
      <c r="P25" s="92">
        <f t="shared" si="1"/>
        <v>5668.8655500000013</v>
      </c>
      <c r="Q25" s="92">
        <f t="shared" si="1"/>
        <v>5668.8655500000013</v>
      </c>
      <c r="R25" s="92">
        <f t="shared" si="1"/>
        <v>5668.6705500000016</v>
      </c>
      <c r="S25" s="92">
        <f t="shared" si="1"/>
        <v>10574.76555</v>
      </c>
      <c r="T25" s="92">
        <f t="shared" si="1"/>
        <v>8939.4655500000008</v>
      </c>
      <c r="U25" s="92">
        <f t="shared" si="1"/>
        <v>5668.6705500000016</v>
      </c>
      <c r="V25" s="92">
        <f t="shared" si="1"/>
        <v>5668.8655500000013</v>
      </c>
      <c r="W25" s="92">
        <f t="shared" si="1"/>
        <v>5668.8655500000013</v>
      </c>
    </row>
    <row r="26" spans="3:24" ht="14.45" x14ac:dyDescent="0.3">
      <c r="X26" s="221"/>
    </row>
    <row r="27" spans="3:24" ht="14.45" x14ac:dyDescent="0.3">
      <c r="X27" s="92"/>
    </row>
    <row r="78" ht="15" customHeight="1" x14ac:dyDescent="0.25"/>
    <row r="79" ht="15" customHeight="1" x14ac:dyDescent="0.25"/>
    <row r="80" ht="15" customHeight="1" x14ac:dyDescent="0.25"/>
    <row r="107" ht="15" customHeight="1" x14ac:dyDescent="0.25"/>
    <row r="108" ht="15" customHeight="1" x14ac:dyDescent="0.25"/>
    <row r="109" ht="15" customHeight="1" x14ac:dyDescent="0.25"/>
  </sheetData>
  <mergeCells count="11">
    <mergeCell ref="C20:C21"/>
    <mergeCell ref="E6:E7"/>
    <mergeCell ref="G6:G7"/>
    <mergeCell ref="I6:I7"/>
    <mergeCell ref="K6:K7"/>
    <mergeCell ref="M6:M7"/>
    <mergeCell ref="E10:E11"/>
    <mergeCell ref="G10:G11"/>
    <mergeCell ref="I10:I11"/>
    <mergeCell ref="K10:K11"/>
    <mergeCell ref="M10:M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D106"/>
  <sheetViews>
    <sheetView zoomScale="90" zoomScaleNormal="90" workbookViewId="0">
      <selection activeCell="AD14" sqref="AD14:AD15"/>
    </sheetView>
  </sheetViews>
  <sheetFormatPr baseColWidth="10" defaultRowHeight="15" x14ac:dyDescent="0.25"/>
  <cols>
    <col min="1" max="1" width="28.28515625" customWidth="1"/>
    <col min="2" max="2" width="6.7109375" bestFit="1" customWidth="1"/>
    <col min="3" max="3" width="36.42578125" bestFit="1" customWidth="1"/>
    <col min="4" max="5" width="12.42578125" bestFit="1" customWidth="1"/>
    <col min="6" max="6" width="14.7109375" bestFit="1" customWidth="1"/>
    <col min="7" max="9" width="13.28515625" bestFit="1" customWidth="1"/>
    <col min="10" max="10" width="14.7109375" bestFit="1" customWidth="1"/>
    <col min="11" max="11" width="13.28515625" bestFit="1" customWidth="1"/>
    <col min="12" max="12" width="14.7109375" bestFit="1" customWidth="1"/>
    <col min="13" max="23" width="13.28515625" bestFit="1" customWidth="1"/>
  </cols>
  <sheetData>
    <row r="3" spans="2:30" thickBot="1" x14ac:dyDescent="0.35"/>
    <row r="4" spans="2:30" ht="50.25" thickBot="1" x14ac:dyDescent="0.3">
      <c r="B4" s="24"/>
      <c r="C4" s="24" t="s">
        <v>122</v>
      </c>
      <c r="D4" s="24" t="s">
        <v>123</v>
      </c>
      <c r="E4" s="24">
        <v>2021</v>
      </c>
      <c r="F4" s="24" t="s">
        <v>79</v>
      </c>
      <c r="G4" s="24">
        <v>2022</v>
      </c>
      <c r="H4" s="24" t="s">
        <v>79</v>
      </c>
      <c r="I4" s="24">
        <v>2023</v>
      </c>
      <c r="J4" s="24" t="s">
        <v>79</v>
      </c>
      <c r="K4" s="24">
        <v>2025</v>
      </c>
      <c r="L4" s="24" t="s">
        <v>79</v>
      </c>
      <c r="M4" s="24" t="s">
        <v>124</v>
      </c>
      <c r="N4" s="24" t="s">
        <v>77</v>
      </c>
    </row>
    <row r="5" spans="2:30" thickBot="1" x14ac:dyDescent="0.35">
      <c r="B5" s="56" t="s">
        <v>181</v>
      </c>
      <c r="C5" s="93" t="s">
        <v>182</v>
      </c>
      <c r="D5" s="94">
        <f>'TABLA GENERAL FASE 1 Y 2'!H216</f>
        <v>1000</v>
      </c>
      <c r="E5" s="95">
        <f>'TABLA GENERAL FASE 1 Y 2'!J216</f>
        <v>0</v>
      </c>
      <c r="F5" s="60">
        <f>E5*D5</f>
        <v>0</v>
      </c>
      <c r="G5" s="95">
        <f>'TABLA GENERAL FASE 1 Y 2'!L216</f>
        <v>0</v>
      </c>
      <c r="H5" s="60">
        <f>G5*D5</f>
        <v>0</v>
      </c>
      <c r="I5" s="95">
        <f>'TABLA GENERAL FASE 1 Y 2'!N216</f>
        <v>0</v>
      </c>
      <c r="J5" s="60">
        <f>I5*D5</f>
        <v>0</v>
      </c>
      <c r="K5" s="95">
        <f>'TABLA GENERAL FASE 1 Y 2'!P216</f>
        <v>5</v>
      </c>
      <c r="L5" s="60">
        <f>K5*D5</f>
        <v>5000</v>
      </c>
      <c r="M5">
        <f t="shared" ref="M5:N5" si="0">K5+I5+G5+E5</f>
        <v>5</v>
      </c>
      <c r="N5">
        <f t="shared" si="0"/>
        <v>5000</v>
      </c>
    </row>
    <row r="6" spans="2:30" ht="24.75" x14ac:dyDescent="0.25">
      <c r="B6" s="62" t="s">
        <v>63</v>
      </c>
      <c r="C6" s="63" t="s">
        <v>62</v>
      </c>
      <c r="D6" s="15">
        <v>1E-3</v>
      </c>
      <c r="E6" s="681"/>
      <c r="F6" s="29">
        <f>$D$6*$D$5*E5</f>
        <v>0</v>
      </c>
      <c r="G6" s="681"/>
      <c r="H6" s="29">
        <f>$D$6*$D$5*G5</f>
        <v>0</v>
      </c>
      <c r="I6" s="681"/>
      <c r="J6" s="29">
        <f>$D$6*$D$5*I5</f>
        <v>0</v>
      </c>
      <c r="K6" s="681"/>
      <c r="L6" s="76">
        <f>$D$6*$D$5*K5</f>
        <v>5</v>
      </c>
      <c r="M6" s="688"/>
      <c r="N6" s="77"/>
    </row>
    <row r="7" spans="2:30" x14ac:dyDescent="0.25">
      <c r="B7" s="62" t="s">
        <v>61</v>
      </c>
      <c r="C7" s="16" t="s">
        <v>60</v>
      </c>
      <c r="D7" s="15">
        <v>1E-3</v>
      </c>
      <c r="E7" s="682"/>
      <c r="F7" s="29">
        <f>$D$7*$D$5*E5</f>
        <v>0</v>
      </c>
      <c r="G7" s="682"/>
      <c r="H7" s="29">
        <f>$D$7*$D$5*G5</f>
        <v>0</v>
      </c>
      <c r="I7" s="682"/>
      <c r="J7" s="29">
        <f>$D$7*$D$5*I5</f>
        <v>0</v>
      </c>
      <c r="K7" s="682"/>
      <c r="L7" s="76">
        <f>$D$7*$D$5*K5</f>
        <v>5</v>
      </c>
      <c r="M7" s="689"/>
      <c r="N7" s="77"/>
    </row>
    <row r="8" spans="2:30" ht="14.45" x14ac:dyDescent="0.3">
      <c r="D8" s="28">
        <v>2021</v>
      </c>
      <c r="E8">
        <v>1</v>
      </c>
      <c r="F8" s="27">
        <f>F6+F7</f>
        <v>0</v>
      </c>
      <c r="G8">
        <v>2022</v>
      </c>
      <c r="H8" s="27">
        <f>H6+H7</f>
        <v>0</v>
      </c>
      <c r="I8">
        <v>2023</v>
      </c>
      <c r="J8" s="27">
        <f>J6+J7</f>
        <v>0</v>
      </c>
      <c r="K8">
        <v>2025</v>
      </c>
      <c r="L8" s="27">
        <f>L6+L7</f>
        <v>10</v>
      </c>
    </row>
    <row r="9" spans="2:30" ht="14.45" x14ac:dyDescent="0.3">
      <c r="D9" s="35"/>
      <c r="F9" s="27"/>
      <c r="H9" s="27"/>
      <c r="J9" s="27"/>
      <c r="L9" s="27"/>
    </row>
    <row r="10" spans="2:30" ht="14.45" x14ac:dyDescent="0.3">
      <c r="F10" s="27"/>
      <c r="H10" s="27"/>
      <c r="J10" s="27"/>
      <c r="L10" s="27"/>
    </row>
    <row r="12" spans="2:30" ht="14.45" x14ac:dyDescent="0.3">
      <c r="D12" s="221">
        <v>2021</v>
      </c>
      <c r="E12" s="221">
        <v>2022</v>
      </c>
      <c r="F12" s="221">
        <v>2023</v>
      </c>
      <c r="G12" s="221">
        <v>2024</v>
      </c>
      <c r="H12" s="221">
        <v>2025</v>
      </c>
      <c r="I12" s="221">
        <v>2026</v>
      </c>
      <c r="J12" s="221">
        <v>2027</v>
      </c>
      <c r="K12" s="221">
        <v>2028</v>
      </c>
      <c r="L12" s="221">
        <v>2029</v>
      </c>
      <c r="M12" s="221">
        <v>2030</v>
      </c>
      <c r="N12" s="221">
        <v>2031</v>
      </c>
      <c r="O12" s="221">
        <v>2032</v>
      </c>
      <c r="P12" s="221">
        <v>2033</v>
      </c>
      <c r="Q12" s="221">
        <v>2034</v>
      </c>
      <c r="R12" s="221">
        <v>2035</v>
      </c>
      <c r="S12" s="221">
        <v>2036</v>
      </c>
      <c r="T12" s="221">
        <v>2037</v>
      </c>
      <c r="U12" s="221">
        <v>2038</v>
      </c>
      <c r="V12" s="221">
        <v>2039</v>
      </c>
      <c r="W12" s="221">
        <v>2040</v>
      </c>
      <c r="X12" s="221">
        <v>2041</v>
      </c>
      <c r="Y12" s="221">
        <v>2042</v>
      </c>
      <c r="Z12" s="221">
        <v>2043</v>
      </c>
      <c r="AA12" s="221">
        <v>2044</v>
      </c>
      <c r="AB12" s="221">
        <v>2045</v>
      </c>
      <c r="AC12" s="221">
        <v>2046</v>
      </c>
    </row>
    <row r="13" spans="2:30" x14ac:dyDescent="0.25">
      <c r="D13" s="221" t="s">
        <v>59</v>
      </c>
      <c r="E13" s="221" t="s">
        <v>40</v>
      </c>
      <c r="F13" s="221" t="s">
        <v>39</v>
      </c>
      <c r="G13" s="221" t="s">
        <v>38</v>
      </c>
      <c r="H13" s="221" t="s">
        <v>58</v>
      </c>
      <c r="I13" s="221" t="s">
        <v>36</v>
      </c>
      <c r="J13" s="221" t="s">
        <v>35</v>
      </c>
      <c r="K13" s="221" t="s">
        <v>34</v>
      </c>
      <c r="L13" s="221" t="s">
        <v>33</v>
      </c>
      <c r="M13" s="221" t="s">
        <v>32</v>
      </c>
      <c r="N13" s="221" t="s">
        <v>31</v>
      </c>
      <c r="O13" s="221" t="s">
        <v>30</v>
      </c>
      <c r="P13" s="221" t="s">
        <v>57</v>
      </c>
      <c r="Q13" s="221" t="s">
        <v>56</v>
      </c>
      <c r="R13" s="221" t="s">
        <v>27</v>
      </c>
      <c r="S13" s="221" t="s">
        <v>55</v>
      </c>
      <c r="T13" s="221" t="s">
        <v>54</v>
      </c>
      <c r="U13" s="221" t="s">
        <v>24</v>
      </c>
      <c r="V13" s="221" t="s">
        <v>23</v>
      </c>
      <c r="W13" s="221" t="s">
        <v>53</v>
      </c>
      <c r="X13" s="221" t="s">
        <v>183</v>
      </c>
      <c r="Y13" s="221" t="s">
        <v>184</v>
      </c>
      <c r="Z13" s="221" t="s">
        <v>185</v>
      </c>
      <c r="AA13" s="221" t="s">
        <v>50</v>
      </c>
      <c r="AB13" s="221" t="s">
        <v>186</v>
      </c>
      <c r="AC13" s="221" t="s">
        <v>97</v>
      </c>
    </row>
    <row r="14" spans="2:30" ht="14.45" x14ac:dyDescent="0.3">
      <c r="C14" s="5" t="s">
        <v>134</v>
      </c>
      <c r="D14" s="3"/>
      <c r="E14" s="3"/>
      <c r="F14" s="3"/>
      <c r="G14" s="3"/>
      <c r="H14" s="3"/>
      <c r="I14" s="3">
        <f>$L$8</f>
        <v>10</v>
      </c>
      <c r="J14" s="3">
        <f t="shared" ref="J14:AC14" si="1">$L$8</f>
        <v>10</v>
      </c>
      <c r="K14" s="3">
        <f t="shared" si="1"/>
        <v>10</v>
      </c>
      <c r="L14" s="3">
        <f t="shared" si="1"/>
        <v>10</v>
      </c>
      <c r="M14" s="3">
        <f t="shared" si="1"/>
        <v>10</v>
      </c>
      <c r="N14" s="3">
        <f t="shared" si="1"/>
        <v>10</v>
      </c>
      <c r="O14" s="3">
        <f t="shared" si="1"/>
        <v>10</v>
      </c>
      <c r="P14" s="3">
        <f t="shared" si="1"/>
        <v>10</v>
      </c>
      <c r="Q14" s="3">
        <f t="shared" si="1"/>
        <v>10</v>
      </c>
      <c r="R14" s="3">
        <f t="shared" si="1"/>
        <v>10</v>
      </c>
      <c r="S14" s="3">
        <f t="shared" si="1"/>
        <v>10</v>
      </c>
      <c r="T14" s="3">
        <f t="shared" si="1"/>
        <v>10</v>
      </c>
      <c r="U14" s="3">
        <f t="shared" si="1"/>
        <v>10</v>
      </c>
      <c r="V14" s="3">
        <f t="shared" si="1"/>
        <v>10</v>
      </c>
      <c r="W14" s="3">
        <f t="shared" si="1"/>
        <v>10</v>
      </c>
      <c r="X14" s="3">
        <f t="shared" si="1"/>
        <v>10</v>
      </c>
      <c r="Y14" s="3">
        <f t="shared" si="1"/>
        <v>10</v>
      </c>
      <c r="Z14" s="3">
        <f t="shared" si="1"/>
        <v>10</v>
      </c>
      <c r="AA14" s="3">
        <f t="shared" si="1"/>
        <v>10</v>
      </c>
      <c r="AB14" s="3">
        <f t="shared" si="1"/>
        <v>10</v>
      </c>
      <c r="AC14" s="3">
        <f t="shared" si="1"/>
        <v>10</v>
      </c>
    </row>
    <row r="15" spans="2:30" ht="14.45" x14ac:dyDescent="0.3">
      <c r="C15" s="5" t="s">
        <v>46</v>
      </c>
      <c r="D15" s="3"/>
      <c r="E15" s="3"/>
      <c r="F15" s="3">
        <f t="shared" ref="F15:W15" si="2">SUM(F14:F14)</f>
        <v>0</v>
      </c>
      <c r="G15" s="3">
        <f t="shared" si="2"/>
        <v>0</v>
      </c>
      <c r="H15" s="3">
        <f t="shared" si="2"/>
        <v>0</v>
      </c>
      <c r="I15" s="3">
        <f t="shared" si="2"/>
        <v>10</v>
      </c>
      <c r="J15" s="3">
        <f t="shared" si="2"/>
        <v>10</v>
      </c>
      <c r="K15" s="3">
        <f t="shared" si="2"/>
        <v>10</v>
      </c>
      <c r="L15" s="3">
        <f t="shared" si="2"/>
        <v>10</v>
      </c>
      <c r="M15" s="3">
        <f t="shared" si="2"/>
        <v>10</v>
      </c>
      <c r="N15" s="3">
        <f t="shared" si="2"/>
        <v>10</v>
      </c>
      <c r="O15" s="3">
        <f t="shared" si="2"/>
        <v>10</v>
      </c>
      <c r="P15" s="3">
        <f t="shared" si="2"/>
        <v>10</v>
      </c>
      <c r="Q15" s="3">
        <f t="shared" si="2"/>
        <v>10</v>
      </c>
      <c r="R15" s="3">
        <f t="shared" si="2"/>
        <v>10</v>
      </c>
      <c r="S15" s="3">
        <f t="shared" si="2"/>
        <v>10</v>
      </c>
      <c r="T15" s="3">
        <f t="shared" si="2"/>
        <v>10</v>
      </c>
      <c r="U15" s="3">
        <f t="shared" si="2"/>
        <v>10</v>
      </c>
      <c r="V15" s="3">
        <f t="shared" si="2"/>
        <v>10</v>
      </c>
      <c r="W15" s="3">
        <f t="shared" si="2"/>
        <v>10</v>
      </c>
      <c r="X15" s="3">
        <f t="shared" ref="X15:AC15" si="3">SUM(X14:X14)</f>
        <v>10</v>
      </c>
      <c r="Y15" s="3">
        <f t="shared" si="3"/>
        <v>10</v>
      </c>
      <c r="Z15" s="3">
        <f t="shared" si="3"/>
        <v>10</v>
      </c>
      <c r="AA15" s="3">
        <f t="shared" si="3"/>
        <v>10</v>
      </c>
      <c r="AB15" s="3">
        <f t="shared" si="3"/>
        <v>10</v>
      </c>
      <c r="AC15" s="3">
        <f t="shared" si="3"/>
        <v>10</v>
      </c>
    </row>
    <row r="16" spans="2:30" ht="14.45" x14ac:dyDescent="0.3">
      <c r="AD16" s="221"/>
    </row>
    <row r="17" spans="30:30" ht="14.45" x14ac:dyDescent="0.3">
      <c r="AD17" s="223"/>
    </row>
    <row r="19" spans="30:30" ht="15" customHeight="1" x14ac:dyDescent="0.3"/>
    <row r="20" spans="30:30" ht="15" customHeight="1" x14ac:dyDescent="0.3"/>
    <row r="21" spans="30:30" ht="15" customHeight="1" x14ac:dyDescent="0.3"/>
    <row r="22" spans="30:30" ht="15" customHeight="1" x14ac:dyDescent="0.3"/>
    <row r="75" ht="15" customHeight="1" x14ac:dyDescent="0.25"/>
    <row r="76" ht="15" customHeight="1" x14ac:dyDescent="0.25"/>
    <row r="77" ht="15" customHeight="1" x14ac:dyDescent="0.25"/>
    <row r="104" ht="15" customHeight="1" x14ac:dyDescent="0.25"/>
    <row r="105" ht="15" customHeight="1" x14ac:dyDescent="0.25"/>
    <row r="106" ht="15" customHeight="1" x14ac:dyDescent="0.25"/>
  </sheetData>
  <mergeCells count="5">
    <mergeCell ref="E6:E7"/>
    <mergeCell ref="G6:G7"/>
    <mergeCell ref="I6:I7"/>
    <mergeCell ref="K6:K7"/>
    <mergeCell ref="M6:M7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X112"/>
  <sheetViews>
    <sheetView topLeftCell="A13" zoomScale="90" zoomScaleNormal="90" workbookViewId="0">
      <selection activeCell="X26" sqref="X26:X28"/>
    </sheetView>
  </sheetViews>
  <sheetFormatPr baseColWidth="10" defaultRowHeight="15" x14ac:dyDescent="0.25"/>
  <cols>
    <col min="1" max="1" width="28.28515625" customWidth="1"/>
    <col min="2" max="2" width="6.7109375" bestFit="1" customWidth="1"/>
    <col min="3" max="3" width="36.42578125" bestFit="1" customWidth="1"/>
    <col min="4" max="5" width="12.42578125" bestFit="1" customWidth="1"/>
    <col min="6" max="6" width="14.7109375" bestFit="1" customWidth="1"/>
    <col min="7" max="9" width="13.28515625" bestFit="1" customWidth="1"/>
    <col min="10" max="10" width="14.7109375" bestFit="1" customWidth="1"/>
    <col min="11" max="11" width="13.28515625" bestFit="1" customWidth="1"/>
    <col min="12" max="12" width="14.7109375" bestFit="1" customWidth="1"/>
    <col min="13" max="23" width="13.28515625" bestFit="1" customWidth="1"/>
    <col min="24" max="24" width="12" bestFit="1" customWidth="1"/>
  </cols>
  <sheetData>
    <row r="3" spans="2:14" thickBot="1" x14ac:dyDescent="0.35"/>
    <row r="4" spans="2:14" ht="50.25" thickBot="1" x14ac:dyDescent="0.3">
      <c r="B4" s="24"/>
      <c r="C4" s="24" t="s">
        <v>122</v>
      </c>
      <c r="D4" s="24" t="s">
        <v>123</v>
      </c>
      <c r="E4" s="24">
        <v>2021</v>
      </c>
      <c r="F4" s="24" t="s">
        <v>79</v>
      </c>
      <c r="G4" s="24">
        <v>2022</v>
      </c>
      <c r="H4" s="24" t="s">
        <v>79</v>
      </c>
      <c r="I4" s="24">
        <v>2023</v>
      </c>
      <c r="J4" s="24" t="s">
        <v>79</v>
      </c>
      <c r="K4" s="24">
        <v>2025</v>
      </c>
      <c r="L4" s="24" t="s">
        <v>79</v>
      </c>
      <c r="M4" s="24" t="s">
        <v>124</v>
      </c>
      <c r="N4" s="24" t="s">
        <v>77</v>
      </c>
    </row>
    <row r="5" spans="2:14" ht="30.75" thickBot="1" x14ac:dyDescent="0.3">
      <c r="B5" s="58" t="s">
        <v>187</v>
      </c>
      <c r="C5" s="96" t="s">
        <v>188</v>
      </c>
      <c r="D5" s="97">
        <f>'TABLA GENERAL FASE 1 Y 2'!H221</f>
        <v>2856</v>
      </c>
      <c r="E5" s="47">
        <f>'TABLA GENERAL FASE 1 Y 2'!J221</f>
        <v>0</v>
      </c>
      <c r="F5" s="97">
        <f>E5*D5</f>
        <v>0</v>
      </c>
      <c r="G5" s="47">
        <f>'TABLA GENERAL FASE 1 Y 2'!L221</f>
        <v>4</v>
      </c>
      <c r="H5" s="97">
        <f>G5*D5</f>
        <v>11424</v>
      </c>
      <c r="I5" s="47">
        <f>'TABLA GENERAL FASE 1 Y 2'!N221</f>
        <v>0</v>
      </c>
      <c r="J5" s="97">
        <f t="shared" ref="J5" si="0">I5*G5</f>
        <v>0</v>
      </c>
      <c r="K5" s="47">
        <f>'TABLA GENERAL FASE 1 Y 2'!P221</f>
        <v>0</v>
      </c>
      <c r="L5" s="97">
        <f>K5*D5</f>
        <v>0</v>
      </c>
      <c r="M5" s="46">
        <f t="shared" ref="M5:N5" si="1">K5+I5+G5+E5</f>
        <v>4</v>
      </c>
      <c r="N5" s="98">
        <f t="shared" si="1"/>
        <v>11424</v>
      </c>
    </row>
    <row r="6" spans="2:14" ht="26.25" thickTop="1" thickBot="1" x14ac:dyDescent="0.3">
      <c r="B6" s="62" t="s">
        <v>63</v>
      </c>
      <c r="C6" s="63" t="s">
        <v>62</v>
      </c>
      <c r="D6" s="15">
        <v>5.0000000000000001E-3</v>
      </c>
      <c r="E6" s="681"/>
      <c r="F6" s="97">
        <f>$D$6*$D$5*E5</f>
        <v>0</v>
      </c>
      <c r="G6" s="681"/>
      <c r="H6" s="97">
        <f>$D$6*$D$5*G5</f>
        <v>57.120000000000005</v>
      </c>
      <c r="I6" s="681"/>
      <c r="J6" s="97">
        <f>$D$6*$D$5*I5</f>
        <v>0</v>
      </c>
      <c r="K6" s="681"/>
      <c r="L6" s="97">
        <f>$D$6*$D$5*K5</f>
        <v>0</v>
      </c>
      <c r="M6" s="688"/>
      <c r="N6" s="77"/>
    </row>
    <row r="7" spans="2:14" ht="15.75" thickBot="1" x14ac:dyDescent="0.3">
      <c r="B7" s="62" t="s">
        <v>61</v>
      </c>
      <c r="C7" s="16" t="s">
        <v>60</v>
      </c>
      <c r="D7" s="15">
        <v>5.0000000000000001E-3</v>
      </c>
      <c r="E7" s="682"/>
      <c r="F7" s="97">
        <f>$D$7*$D$5*E5</f>
        <v>0</v>
      </c>
      <c r="G7" s="682"/>
      <c r="H7" s="97">
        <f>$D$7*$D$5*G5</f>
        <v>57.120000000000005</v>
      </c>
      <c r="I7" s="682"/>
      <c r="J7" s="97">
        <f>$D$7*$D$5*I5</f>
        <v>0</v>
      </c>
      <c r="K7" s="682"/>
      <c r="L7" s="97">
        <f>$D$7*$D$5*K5</f>
        <v>0</v>
      </c>
      <c r="M7" s="689"/>
      <c r="N7" s="77"/>
    </row>
    <row r="8" spans="2:14" ht="15.75" thickBot="1" x14ac:dyDescent="0.3">
      <c r="B8" s="67" t="s">
        <v>67</v>
      </c>
      <c r="C8" s="16" t="s">
        <v>189</v>
      </c>
      <c r="D8" s="15">
        <f>0.015</f>
        <v>1.4999999999999999E-2</v>
      </c>
      <c r="E8" s="65"/>
      <c r="F8" s="97">
        <f>D5*E5*D8</f>
        <v>0</v>
      </c>
      <c r="G8" s="65"/>
      <c r="H8" s="97">
        <f>$D$8*$D$5*G5</f>
        <v>171.35999999999999</v>
      </c>
      <c r="I8" s="65"/>
      <c r="J8" s="97">
        <f>$D$8*$D$5*I5</f>
        <v>0</v>
      </c>
      <c r="K8" s="65"/>
      <c r="L8" s="97">
        <f>$D$8*$D$5*K5</f>
        <v>0</v>
      </c>
      <c r="M8" s="80"/>
      <c r="N8" s="77"/>
    </row>
    <row r="9" spans="2:14" ht="31.5" thickTop="1" thickBot="1" x14ac:dyDescent="0.3">
      <c r="B9" s="58" t="s">
        <v>190</v>
      </c>
      <c r="C9" s="21" t="s">
        <v>191</v>
      </c>
      <c r="D9" s="97">
        <f>'TABLA GENERAL FASE 1 Y 2'!H224</f>
        <v>9040</v>
      </c>
      <c r="E9" s="47">
        <f>'TABLA GENERAL FASE 1 Y 2'!J224</f>
        <v>0</v>
      </c>
      <c r="F9" s="97">
        <f>E9*D9</f>
        <v>0</v>
      </c>
      <c r="G9" s="47">
        <f>'TABLA GENERAL FASE 1 Y 2'!L224</f>
        <v>5</v>
      </c>
      <c r="H9" s="97">
        <f>G9*D9</f>
        <v>45200</v>
      </c>
      <c r="I9" s="15">
        <f>'TABLA GENERAL FASE 1 Y 2'!N224</f>
        <v>0</v>
      </c>
      <c r="J9" s="97">
        <f t="shared" ref="J9" si="2">I9*G9</f>
        <v>0</v>
      </c>
      <c r="K9" s="15">
        <f>'TABLA GENERAL FASE 1 Y 2'!P224</f>
        <v>0</v>
      </c>
      <c r="L9" s="97">
        <f>K9*D9</f>
        <v>0</v>
      </c>
      <c r="M9" s="18">
        <f t="shared" ref="M9:N9" si="3">K9+I9+G9+E9</f>
        <v>5</v>
      </c>
      <c r="N9" s="98">
        <f t="shared" si="3"/>
        <v>45200</v>
      </c>
    </row>
    <row r="10" spans="2:14" ht="26.25" thickTop="1" thickBot="1" x14ac:dyDescent="0.3">
      <c r="B10" s="62" t="s">
        <v>63</v>
      </c>
      <c r="C10" s="63" t="s">
        <v>62</v>
      </c>
      <c r="D10" s="15">
        <v>5.0000000000000001E-3</v>
      </c>
      <c r="E10" s="681"/>
      <c r="F10" s="97">
        <f>$D$10*$D$9*E9</f>
        <v>0</v>
      </c>
      <c r="G10" s="681"/>
      <c r="H10" s="97">
        <f>$D$10*$D$9*G9</f>
        <v>226</v>
      </c>
      <c r="I10" s="681"/>
      <c r="J10" s="97">
        <f>$D$10*$D$9*I9</f>
        <v>0</v>
      </c>
      <c r="K10" s="681"/>
      <c r="L10" s="97">
        <f>$D$10*$D$9*K9</f>
        <v>0</v>
      </c>
      <c r="M10" s="688"/>
      <c r="N10" s="77"/>
    </row>
    <row r="11" spans="2:14" ht="15.75" thickBot="1" x14ac:dyDescent="0.3">
      <c r="B11" s="62" t="s">
        <v>61</v>
      </c>
      <c r="C11" s="16" t="s">
        <v>60</v>
      </c>
      <c r="D11" s="15">
        <v>5.0000000000000001E-3</v>
      </c>
      <c r="E11" s="682"/>
      <c r="F11" s="97">
        <f>$D$11*$D$9*E9</f>
        <v>0</v>
      </c>
      <c r="G11" s="682"/>
      <c r="H11" s="97">
        <f>$D$11*$D$9*G9</f>
        <v>226</v>
      </c>
      <c r="I11" s="682"/>
      <c r="J11" s="97">
        <f>$D$11*$D$9*I9</f>
        <v>0</v>
      </c>
      <c r="K11" s="682"/>
      <c r="L11" s="97">
        <f>$D$11*$D$9*K9</f>
        <v>0</v>
      </c>
      <c r="M11" s="689"/>
      <c r="N11" s="77"/>
    </row>
    <row r="12" spans="2:14" ht="15.75" thickBot="1" x14ac:dyDescent="0.3">
      <c r="B12" s="67" t="s">
        <v>67</v>
      </c>
      <c r="C12" s="16" t="s">
        <v>189</v>
      </c>
      <c r="D12" s="15">
        <f>0.015</f>
        <v>1.4999999999999999E-2</v>
      </c>
      <c r="E12" s="65"/>
      <c r="F12" s="97">
        <f>$D$9*$E$9*D12</f>
        <v>0</v>
      </c>
      <c r="G12" s="65"/>
      <c r="H12" s="97">
        <f>$D$9*$E$9*F12</f>
        <v>0</v>
      </c>
      <c r="I12" s="65"/>
      <c r="J12" s="97">
        <f>$D$9*$E$9*H12</f>
        <v>0</v>
      </c>
      <c r="K12" s="65"/>
      <c r="L12" s="97">
        <f>$D$9*$K$9*D12</f>
        <v>0</v>
      </c>
      <c r="M12" s="80"/>
      <c r="N12" s="77"/>
    </row>
    <row r="13" spans="2:14" ht="16.5" thickTop="1" thickBot="1" x14ac:dyDescent="0.3">
      <c r="B13" s="58" t="s">
        <v>192</v>
      </c>
      <c r="C13" s="21" t="s">
        <v>193</v>
      </c>
      <c r="D13" s="97">
        <f>'TABLA GENERAL FASE 1 Y 2'!H227</f>
        <v>12000</v>
      </c>
      <c r="E13" s="47">
        <f>'TABLA GENERAL FASE 1 Y 2'!J227</f>
        <v>0</v>
      </c>
      <c r="F13" s="97">
        <f>E13*D13</f>
        <v>0</v>
      </c>
      <c r="G13" s="47">
        <f>'TABLA GENERAL FASE 1 Y 2'!L227</f>
        <v>1</v>
      </c>
      <c r="H13" s="97">
        <f>G13*D13</f>
        <v>12000</v>
      </c>
      <c r="I13" s="15">
        <f>'TABLA GENERAL FASE 1 Y 2'!N227</f>
        <v>0</v>
      </c>
      <c r="J13" s="97">
        <f t="shared" ref="J13" si="4">I13*G13</f>
        <v>0</v>
      </c>
      <c r="K13" s="15">
        <f>'TABLA GENERAL FASE 1 Y 2'!P227</f>
        <v>0</v>
      </c>
      <c r="L13" s="97">
        <f>K13*D13</f>
        <v>0</v>
      </c>
      <c r="M13" s="18">
        <f t="shared" ref="M13:N13" si="5">K13+I13+G13+E13</f>
        <v>1</v>
      </c>
      <c r="N13" s="98">
        <f t="shared" si="5"/>
        <v>12000</v>
      </c>
    </row>
    <row r="14" spans="2:14" ht="26.25" thickTop="1" thickBot="1" x14ac:dyDescent="0.3">
      <c r="B14" s="62" t="s">
        <v>63</v>
      </c>
      <c r="C14" s="63" t="s">
        <v>62</v>
      </c>
      <c r="D14" s="15">
        <v>0.01</v>
      </c>
      <c r="E14" s="681"/>
      <c r="F14" s="97">
        <f>$D$14*$D$13*E13</f>
        <v>0</v>
      </c>
      <c r="G14" s="681"/>
      <c r="H14" s="97">
        <f>$D$14*$D$13*G13</f>
        <v>120</v>
      </c>
      <c r="I14" s="681"/>
      <c r="J14" s="97">
        <f>$D$14*$D$13*I13</f>
        <v>0</v>
      </c>
      <c r="K14" s="681"/>
      <c r="L14" s="97">
        <f>$D$14*$D$13*K13</f>
        <v>0</v>
      </c>
      <c r="M14" s="688"/>
      <c r="N14" s="77"/>
    </row>
    <row r="15" spans="2:14" ht="15.75" thickBot="1" x14ac:dyDescent="0.3">
      <c r="B15" s="62" t="s">
        <v>61</v>
      </c>
      <c r="C15" s="16" t="s">
        <v>60</v>
      </c>
      <c r="D15" s="15">
        <v>0.01</v>
      </c>
      <c r="E15" s="682"/>
      <c r="F15" s="97">
        <f>$D$15*$D$13*E13</f>
        <v>0</v>
      </c>
      <c r="G15" s="682"/>
      <c r="H15" s="97">
        <f>$D$15*$D$13*G13</f>
        <v>120</v>
      </c>
      <c r="I15" s="682"/>
      <c r="J15" s="97">
        <f>$D$15*$D$13*I13</f>
        <v>0</v>
      </c>
      <c r="K15" s="682"/>
      <c r="L15" s="97">
        <f>$D$15*$D$13*K13</f>
        <v>0</v>
      </c>
      <c r="M15" s="689"/>
      <c r="N15" s="77"/>
    </row>
    <row r="16" spans="2:14" ht="15.75" thickBot="1" x14ac:dyDescent="0.3">
      <c r="B16" s="67" t="s">
        <v>67</v>
      </c>
      <c r="C16" s="16" t="s">
        <v>189</v>
      </c>
      <c r="D16" s="15">
        <f>0.15</f>
        <v>0.15</v>
      </c>
      <c r="E16" s="65"/>
      <c r="F16" s="97">
        <f>D13*$E$13*$D$16</f>
        <v>0</v>
      </c>
      <c r="G16" s="65"/>
      <c r="H16" s="97">
        <f>G13*$E$13*$D$16</f>
        <v>0</v>
      </c>
      <c r="I16" s="65"/>
      <c r="J16" s="97">
        <f>I13*$E$13*$D$16</f>
        <v>0</v>
      </c>
      <c r="K16" s="65"/>
      <c r="L16" s="97">
        <f>K13*$D$13*$D$16</f>
        <v>0</v>
      </c>
      <c r="M16" s="80"/>
      <c r="N16" s="77"/>
    </row>
    <row r="17" spans="2:24" ht="31.5" thickTop="1" thickBot="1" x14ac:dyDescent="0.3">
      <c r="B17" s="58" t="s">
        <v>194</v>
      </c>
      <c r="C17" s="21" t="s">
        <v>195</v>
      </c>
      <c r="D17" s="97">
        <f>'TABLA GENERAL FASE 1 Y 2'!H230</f>
        <v>1300</v>
      </c>
      <c r="E17" s="47">
        <f>'TABLA GENERAL FASE 1 Y 2'!J230</f>
        <v>4</v>
      </c>
      <c r="F17" s="97">
        <f>E17*D17</f>
        <v>5200</v>
      </c>
      <c r="G17" s="47">
        <f>'TABLA GENERAL FASE 1 Y 2'!L230</f>
        <v>0</v>
      </c>
      <c r="H17" s="97">
        <f>G17*D17</f>
        <v>0</v>
      </c>
      <c r="I17" s="15">
        <f>'TABLA GENERAL FASE 1 Y 2'!N230</f>
        <v>0</v>
      </c>
      <c r="J17" s="97">
        <f t="shared" ref="J17" si="6">I17*G17</f>
        <v>0</v>
      </c>
      <c r="K17" s="15">
        <f>'TABLA GENERAL FASE 1 Y 2'!P230</f>
        <v>0</v>
      </c>
      <c r="L17" s="97">
        <f>K17*D17</f>
        <v>0</v>
      </c>
      <c r="M17" s="18">
        <f t="shared" ref="M17:N17" si="7">K17+I17+G17+E17</f>
        <v>4</v>
      </c>
      <c r="N17" s="98">
        <f t="shared" si="7"/>
        <v>5200</v>
      </c>
    </row>
    <row r="18" spans="2:24" ht="26.25" thickTop="1" thickBot="1" x14ac:dyDescent="0.3">
      <c r="B18" s="62" t="s">
        <v>63</v>
      </c>
      <c r="C18" s="63" t="s">
        <v>62</v>
      </c>
      <c r="D18" s="15">
        <v>5.0000000000000001E-3</v>
      </c>
      <c r="E18" s="681"/>
      <c r="F18" s="97">
        <f>$D$19*$D$17*E17</f>
        <v>26</v>
      </c>
      <c r="G18" s="681"/>
      <c r="H18" s="97">
        <f>$D$19*$D$17*G17</f>
        <v>0</v>
      </c>
      <c r="I18" s="681"/>
      <c r="J18" s="97">
        <f>$D$19*$D$17*I17</f>
        <v>0</v>
      </c>
      <c r="K18" s="681"/>
      <c r="L18" s="97">
        <f>$D$19*$D$17*K17</f>
        <v>0</v>
      </c>
      <c r="M18" s="688"/>
      <c r="N18" s="77"/>
    </row>
    <row r="19" spans="2:24" ht="15.75" thickBot="1" x14ac:dyDescent="0.3">
      <c r="B19" s="62" t="s">
        <v>61</v>
      </c>
      <c r="C19" s="16" t="s">
        <v>60</v>
      </c>
      <c r="D19" s="15">
        <v>5.0000000000000001E-3</v>
      </c>
      <c r="E19" s="682"/>
      <c r="F19" s="97">
        <f>$D$19*$D$17*E17</f>
        <v>26</v>
      </c>
      <c r="G19" s="682"/>
      <c r="H19" s="97">
        <f>$D$19*$D$17*G17</f>
        <v>0</v>
      </c>
      <c r="I19" s="682"/>
      <c r="J19" s="97">
        <f>$D$19*$D$17*I17</f>
        <v>0</v>
      </c>
      <c r="K19" s="682"/>
      <c r="L19" s="97">
        <f>$D$19*$D$17*K17</f>
        <v>0</v>
      </c>
      <c r="M19" s="689"/>
      <c r="N19" s="77"/>
    </row>
    <row r="20" spans="2:24" ht="15.75" thickBot="1" x14ac:dyDescent="0.3">
      <c r="B20" s="67" t="s">
        <v>67</v>
      </c>
      <c r="C20" s="52" t="s">
        <v>189</v>
      </c>
      <c r="D20" s="15">
        <f>0.015</f>
        <v>1.4999999999999999E-2</v>
      </c>
      <c r="E20" s="99"/>
      <c r="F20" s="100">
        <f>$D$20*E17*$D$17</f>
        <v>78</v>
      </c>
      <c r="G20" s="99"/>
      <c r="H20" s="100">
        <f>$D$20*G17*$D$17</f>
        <v>0</v>
      </c>
      <c r="I20" s="99"/>
      <c r="J20" s="100">
        <f>$D$20*I17*$D$17</f>
        <v>0</v>
      </c>
      <c r="K20" s="99"/>
      <c r="L20" s="100">
        <f>$D$20*K17*$D$17</f>
        <v>0</v>
      </c>
      <c r="M20" s="101"/>
      <c r="N20" s="102"/>
    </row>
    <row r="21" spans="2:24" thickBot="1" x14ac:dyDescent="0.35">
      <c r="D21" s="28">
        <v>2021</v>
      </c>
      <c r="E21">
        <v>1</v>
      </c>
      <c r="F21" s="103">
        <f>F19+F18+F15+F14+F11+F10+F7+F6</f>
        <v>52</v>
      </c>
      <c r="G21">
        <v>2022</v>
      </c>
      <c r="H21" s="103">
        <f>H19+H18+H15+H14+H11+H10+H7+H6</f>
        <v>806.24</v>
      </c>
      <c r="I21">
        <v>2023</v>
      </c>
      <c r="J21" s="103">
        <f>J19+J18+J15+J14+J11+J10+J7+J6</f>
        <v>0</v>
      </c>
      <c r="K21">
        <v>2025</v>
      </c>
      <c r="L21" s="103">
        <f>L19+L18+L15+L14+L11+L10+L7+L6</f>
        <v>0</v>
      </c>
    </row>
    <row r="22" spans="2:24" ht="14.45" x14ac:dyDescent="0.3">
      <c r="D22" s="35"/>
      <c r="E22">
        <v>2</v>
      </c>
      <c r="F22" s="97">
        <f>F20+F16+F12+F8</f>
        <v>78</v>
      </c>
      <c r="H22" s="97">
        <f>H20+H16+H12+H8</f>
        <v>171.35999999999999</v>
      </c>
      <c r="J22" s="97">
        <f>J20+J16+J12+J8</f>
        <v>0</v>
      </c>
      <c r="L22" s="97">
        <f>L20+L16+L12+L8</f>
        <v>0</v>
      </c>
    </row>
    <row r="24" spans="2:24" ht="14.45" x14ac:dyDescent="0.3">
      <c r="D24" s="221">
        <v>2021</v>
      </c>
      <c r="E24" s="221">
        <v>2022</v>
      </c>
      <c r="F24" s="221">
        <v>2023</v>
      </c>
      <c r="G24" s="221">
        <v>2024</v>
      </c>
      <c r="H24" s="221">
        <v>2025</v>
      </c>
      <c r="I24" s="221">
        <v>2026</v>
      </c>
      <c r="J24" s="221">
        <v>2027</v>
      </c>
      <c r="K24" s="221">
        <v>2028</v>
      </c>
      <c r="L24" s="221">
        <v>2029</v>
      </c>
      <c r="M24" s="221">
        <v>2030</v>
      </c>
      <c r="N24" s="221">
        <v>2031</v>
      </c>
      <c r="O24" s="221">
        <v>2032</v>
      </c>
      <c r="P24" s="221">
        <v>2033</v>
      </c>
      <c r="Q24" s="221">
        <v>2034</v>
      </c>
      <c r="R24" s="221">
        <v>2035</v>
      </c>
      <c r="S24" s="221">
        <v>2036</v>
      </c>
      <c r="T24" s="221">
        <v>2037</v>
      </c>
      <c r="U24" s="221">
        <v>2038</v>
      </c>
      <c r="V24" s="221">
        <v>2039</v>
      </c>
      <c r="W24" s="221">
        <v>2040</v>
      </c>
    </row>
    <row r="25" spans="2:24" x14ac:dyDescent="0.25">
      <c r="D25" s="221" t="s">
        <v>59</v>
      </c>
      <c r="E25" s="221" t="s">
        <v>40</v>
      </c>
      <c r="F25" s="221" t="s">
        <v>39</v>
      </c>
      <c r="G25" s="221" t="s">
        <v>38</v>
      </c>
      <c r="H25" s="221" t="s">
        <v>58</v>
      </c>
      <c r="I25" s="221" t="s">
        <v>36</v>
      </c>
      <c r="J25" s="221" t="s">
        <v>35</v>
      </c>
      <c r="K25" s="221" t="s">
        <v>34</v>
      </c>
      <c r="L25" s="221" t="s">
        <v>33</v>
      </c>
      <c r="M25" s="221" t="s">
        <v>32</v>
      </c>
      <c r="N25" s="221" t="s">
        <v>31</v>
      </c>
      <c r="O25" s="221" t="s">
        <v>30</v>
      </c>
      <c r="P25" s="221" t="s">
        <v>57</v>
      </c>
      <c r="Q25" s="221" t="s">
        <v>56</v>
      </c>
      <c r="R25" s="221" t="s">
        <v>27</v>
      </c>
      <c r="S25" s="221" t="s">
        <v>55</v>
      </c>
      <c r="T25" s="221" t="s">
        <v>54</v>
      </c>
      <c r="U25" s="221" t="s">
        <v>24</v>
      </c>
      <c r="V25" s="221" t="s">
        <v>23</v>
      </c>
      <c r="W25" s="221" t="s">
        <v>53</v>
      </c>
    </row>
    <row r="26" spans="2:24" ht="15" customHeight="1" x14ac:dyDescent="0.3">
      <c r="C26" s="5" t="s">
        <v>134</v>
      </c>
      <c r="D26" s="3"/>
      <c r="E26" s="3"/>
      <c r="F26" s="3"/>
      <c r="G26" s="3"/>
      <c r="H26" s="3"/>
      <c r="I26" s="3">
        <f>$L$21</f>
        <v>0</v>
      </c>
      <c r="J26" s="3">
        <f t="shared" ref="J26:W26" si="8">$L$21</f>
        <v>0</v>
      </c>
      <c r="K26" s="3">
        <f t="shared" si="8"/>
        <v>0</v>
      </c>
      <c r="L26" s="3">
        <f t="shared" si="8"/>
        <v>0</v>
      </c>
      <c r="M26" s="3">
        <f t="shared" si="8"/>
        <v>0</v>
      </c>
      <c r="N26" s="3">
        <f t="shared" si="8"/>
        <v>0</v>
      </c>
      <c r="O26" s="3">
        <f t="shared" si="8"/>
        <v>0</v>
      </c>
      <c r="P26" s="3">
        <f t="shared" si="8"/>
        <v>0</v>
      </c>
      <c r="Q26" s="3">
        <f t="shared" si="8"/>
        <v>0</v>
      </c>
      <c r="R26" s="3">
        <f t="shared" si="8"/>
        <v>0</v>
      </c>
      <c r="S26" s="3">
        <f t="shared" si="8"/>
        <v>0</v>
      </c>
      <c r="T26" s="3">
        <f t="shared" si="8"/>
        <v>0</v>
      </c>
      <c r="U26" s="3">
        <f t="shared" si="8"/>
        <v>0</v>
      </c>
      <c r="V26" s="3">
        <f t="shared" si="8"/>
        <v>0</v>
      </c>
      <c r="W26" s="3">
        <f t="shared" si="8"/>
        <v>0</v>
      </c>
    </row>
    <row r="27" spans="2:24" ht="15" customHeight="1" x14ac:dyDescent="0.25">
      <c r="C27" s="90" t="s">
        <v>189</v>
      </c>
      <c r="D27" s="3"/>
      <c r="E27" s="3"/>
      <c r="F27" s="3"/>
      <c r="G27" s="3"/>
      <c r="H27" s="3"/>
      <c r="I27" s="3"/>
      <c r="J27" s="3"/>
      <c r="K27" s="3"/>
      <c r="L27" s="3"/>
      <c r="M27" s="3">
        <f>L22</f>
        <v>0</v>
      </c>
      <c r="N27" s="3"/>
      <c r="O27" s="3"/>
      <c r="P27" s="3"/>
      <c r="Q27" s="3"/>
      <c r="R27" s="3">
        <f>L22</f>
        <v>0</v>
      </c>
      <c r="S27" s="3"/>
      <c r="T27" s="3"/>
      <c r="U27" s="3"/>
      <c r="V27" s="3"/>
      <c r="W27" s="3">
        <f>L22</f>
        <v>0</v>
      </c>
    </row>
    <row r="28" spans="2:24" ht="15" customHeight="1" x14ac:dyDescent="0.3">
      <c r="C28" s="5" t="s">
        <v>46</v>
      </c>
      <c r="D28" s="3"/>
      <c r="E28" s="3"/>
      <c r="F28" s="3">
        <f t="shared" ref="F28:W28" si="9">SUM(F26:F27)</f>
        <v>0</v>
      </c>
      <c r="G28" s="3">
        <f t="shared" si="9"/>
        <v>0</v>
      </c>
      <c r="H28" s="3">
        <f t="shared" si="9"/>
        <v>0</v>
      </c>
      <c r="I28" s="3">
        <f t="shared" si="9"/>
        <v>0</v>
      </c>
      <c r="J28" s="3">
        <f t="shared" si="9"/>
        <v>0</v>
      </c>
      <c r="K28" s="3">
        <f t="shared" si="9"/>
        <v>0</v>
      </c>
      <c r="L28" s="3">
        <f t="shared" si="9"/>
        <v>0</v>
      </c>
      <c r="M28" s="3">
        <f t="shared" si="9"/>
        <v>0</v>
      </c>
      <c r="N28" s="3">
        <f t="shared" si="9"/>
        <v>0</v>
      </c>
      <c r="O28" s="3">
        <f t="shared" si="9"/>
        <v>0</v>
      </c>
      <c r="P28" s="3">
        <f t="shared" si="9"/>
        <v>0</v>
      </c>
      <c r="Q28" s="3">
        <f t="shared" si="9"/>
        <v>0</v>
      </c>
      <c r="R28" s="3">
        <f t="shared" si="9"/>
        <v>0</v>
      </c>
      <c r="S28" s="3">
        <f t="shared" si="9"/>
        <v>0</v>
      </c>
      <c r="T28" s="3">
        <f t="shared" si="9"/>
        <v>0</v>
      </c>
      <c r="U28" s="3">
        <f t="shared" si="9"/>
        <v>0</v>
      </c>
      <c r="V28" s="3">
        <f t="shared" si="9"/>
        <v>0</v>
      </c>
      <c r="W28" s="3">
        <f t="shared" si="9"/>
        <v>0</v>
      </c>
    </row>
    <row r="29" spans="2:24" ht="14.45" x14ac:dyDescent="0.3">
      <c r="X29" s="221"/>
    </row>
    <row r="30" spans="2:24" ht="14.45" x14ac:dyDescent="0.3">
      <c r="X30" s="3"/>
    </row>
    <row r="81" ht="15" customHeight="1" x14ac:dyDescent="0.25"/>
    <row r="82" ht="15" customHeight="1" x14ac:dyDescent="0.25"/>
    <row r="83" ht="15" customHeight="1" x14ac:dyDescent="0.25"/>
    <row r="110" ht="15" customHeight="1" x14ac:dyDescent="0.25"/>
    <row r="111" ht="15" customHeight="1" x14ac:dyDescent="0.25"/>
    <row r="112" ht="15" customHeight="1" x14ac:dyDescent="0.25"/>
  </sheetData>
  <mergeCells count="20">
    <mergeCell ref="E14:E15"/>
    <mergeCell ref="G14:G15"/>
    <mergeCell ref="I14:I15"/>
    <mergeCell ref="K14:K15"/>
    <mergeCell ref="M14:M15"/>
    <mergeCell ref="E18:E19"/>
    <mergeCell ref="G18:G19"/>
    <mergeCell ref="I18:I19"/>
    <mergeCell ref="K18:K19"/>
    <mergeCell ref="M18:M19"/>
    <mergeCell ref="E6:E7"/>
    <mergeCell ref="G6:G7"/>
    <mergeCell ref="I6:I7"/>
    <mergeCell ref="K6:K7"/>
    <mergeCell ref="M6:M7"/>
    <mergeCell ref="E10:E11"/>
    <mergeCell ref="G10:G11"/>
    <mergeCell ref="I10:I11"/>
    <mergeCell ref="K10:K11"/>
    <mergeCell ref="M10:M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X108"/>
  <sheetViews>
    <sheetView topLeftCell="J7" zoomScale="90" zoomScaleNormal="90" workbookViewId="0">
      <selection activeCell="X22" sqref="X22:X24"/>
    </sheetView>
  </sheetViews>
  <sheetFormatPr baseColWidth="10" defaultRowHeight="15" x14ac:dyDescent="0.25"/>
  <cols>
    <col min="1" max="1" width="28.28515625" customWidth="1"/>
    <col min="2" max="2" width="6.7109375" bestFit="1" customWidth="1"/>
    <col min="3" max="3" width="36.42578125" bestFit="1" customWidth="1"/>
    <col min="4" max="5" width="12.42578125" bestFit="1" customWidth="1"/>
    <col min="6" max="6" width="14.7109375" bestFit="1" customWidth="1"/>
    <col min="7" max="7" width="13.28515625" bestFit="1" customWidth="1"/>
    <col min="8" max="8" width="16" bestFit="1" customWidth="1"/>
    <col min="9" max="9" width="13.28515625" bestFit="1" customWidth="1"/>
    <col min="10" max="10" width="22.7109375" bestFit="1" customWidth="1"/>
    <col min="11" max="11" width="13.28515625" bestFit="1" customWidth="1"/>
    <col min="12" max="12" width="14.7109375" bestFit="1" customWidth="1"/>
    <col min="13" max="24" width="13.28515625" bestFit="1" customWidth="1"/>
  </cols>
  <sheetData>
    <row r="3" spans="2:14" thickBot="1" x14ac:dyDescent="0.35"/>
    <row r="4" spans="2:14" ht="50.25" thickBot="1" x14ac:dyDescent="0.3">
      <c r="B4" s="24"/>
      <c r="C4" s="24" t="s">
        <v>122</v>
      </c>
      <c r="D4" s="24" t="s">
        <v>123</v>
      </c>
      <c r="E4" s="24">
        <v>2021</v>
      </c>
      <c r="F4" s="24" t="s">
        <v>79</v>
      </c>
      <c r="G4" s="24">
        <v>2022</v>
      </c>
      <c r="H4" s="24" t="s">
        <v>79</v>
      </c>
      <c r="I4" s="24">
        <v>2023</v>
      </c>
      <c r="J4" s="24" t="s">
        <v>79</v>
      </c>
      <c r="K4" s="24">
        <v>2025</v>
      </c>
      <c r="L4" s="24" t="s">
        <v>79</v>
      </c>
      <c r="M4" s="24" t="s">
        <v>124</v>
      </c>
      <c r="N4" s="24" t="s">
        <v>77</v>
      </c>
    </row>
    <row r="5" spans="2:14" ht="16.5" thickTop="1" thickBot="1" x14ac:dyDescent="0.3">
      <c r="B5" s="56" t="s">
        <v>196</v>
      </c>
      <c r="C5" s="104" t="s">
        <v>197</v>
      </c>
      <c r="D5" s="72">
        <f>'TABLA GENERAL FASE 1 Y 2'!H237</f>
        <v>68118</v>
      </c>
      <c r="E5" s="47">
        <f>'TABLA GENERAL FASE 1 Y 2'!J237</f>
        <v>0</v>
      </c>
      <c r="F5" s="60">
        <f>E5*D5</f>
        <v>0</v>
      </c>
      <c r="G5" s="47">
        <f>'TABLA GENERAL FASE 1 Y 2'!L237</f>
        <v>0</v>
      </c>
      <c r="H5" s="60">
        <f>G5*D5</f>
        <v>0</v>
      </c>
      <c r="I5" s="47">
        <f>'TABLA GENERAL FASE 1 Y 2'!N237</f>
        <v>2</v>
      </c>
      <c r="J5" s="60">
        <f>I5*D5</f>
        <v>136236</v>
      </c>
      <c r="K5" s="47">
        <f>'TABLA GENERAL FASE 1 Y 2'!P237</f>
        <v>0</v>
      </c>
      <c r="L5" s="60">
        <f>K5*D5</f>
        <v>0</v>
      </c>
      <c r="M5" s="18">
        <f t="shared" ref="M5:N5" si="0">K5+I5+G5+E5</f>
        <v>2</v>
      </c>
      <c r="N5" s="18">
        <f t="shared" si="0"/>
        <v>136236</v>
      </c>
    </row>
    <row r="6" spans="2:14" ht="26.25" thickTop="1" thickBot="1" x14ac:dyDescent="0.3">
      <c r="B6" s="62" t="s">
        <v>63</v>
      </c>
      <c r="C6" s="63" t="s">
        <v>62</v>
      </c>
      <c r="D6" s="15">
        <v>0.02</v>
      </c>
      <c r="E6" s="681"/>
      <c r="F6" s="97">
        <f>$D$6*$D$5*E5</f>
        <v>0</v>
      </c>
      <c r="G6" s="681"/>
      <c r="H6" s="97">
        <f>$D$6*$D$5*G5</f>
        <v>0</v>
      </c>
      <c r="I6" s="681"/>
      <c r="J6" s="97">
        <f>$D$6*$D$5*I5</f>
        <v>2724.7200000000003</v>
      </c>
      <c r="K6" s="681"/>
      <c r="L6" s="97">
        <f>$D$6*$D$5*K5</f>
        <v>0</v>
      </c>
      <c r="M6" s="688"/>
      <c r="N6" s="77"/>
    </row>
    <row r="7" spans="2:14" ht="15.75" thickBot="1" x14ac:dyDescent="0.3">
      <c r="B7" s="62" t="s">
        <v>61</v>
      </c>
      <c r="C7" s="16" t="s">
        <v>60</v>
      </c>
      <c r="D7" s="15">
        <v>1.2E-2</v>
      </c>
      <c r="E7" s="682"/>
      <c r="F7" s="97">
        <f>$D$7*$D$5*E5</f>
        <v>0</v>
      </c>
      <c r="G7" s="682"/>
      <c r="H7" s="97">
        <f>$D$7*$D$5*G5</f>
        <v>0</v>
      </c>
      <c r="I7" s="682"/>
      <c r="J7" s="97">
        <f>$D$7*$D$5*I5</f>
        <v>1634.8320000000001</v>
      </c>
      <c r="K7" s="682"/>
      <c r="L7" s="97">
        <f>$D$7*$D$5*K5</f>
        <v>0</v>
      </c>
      <c r="M7" s="689"/>
      <c r="N7" s="77"/>
    </row>
    <row r="8" spans="2:14" ht="15.75" thickBot="1" x14ac:dyDescent="0.3">
      <c r="B8" s="67" t="s">
        <v>67</v>
      </c>
      <c r="C8" s="16" t="s">
        <v>189</v>
      </c>
      <c r="D8" s="15">
        <f>0.06</f>
        <v>0.06</v>
      </c>
      <c r="E8" s="65"/>
      <c r="F8" s="97">
        <f>D5*E5*D8</f>
        <v>0</v>
      </c>
      <c r="G8" s="65"/>
      <c r="H8" s="97">
        <f>$D$8*$D$5*G5</f>
        <v>0</v>
      </c>
      <c r="I8" s="65"/>
      <c r="J8" s="97">
        <f>$D$8*$D$5*I5</f>
        <v>8174.16</v>
      </c>
      <c r="K8" s="65"/>
      <c r="L8" s="97">
        <f>$D$8*$D$5*K5</f>
        <v>0</v>
      </c>
      <c r="M8" s="80"/>
      <c r="N8" s="77"/>
    </row>
    <row r="9" spans="2:14" ht="30" thickTop="1" thickBot="1" x14ac:dyDescent="0.35">
      <c r="B9" s="56" t="s">
        <v>198</v>
      </c>
      <c r="C9" s="105" t="s">
        <v>199</v>
      </c>
      <c r="D9" s="59">
        <f>'TABLA GENERAL FASE 1 Y 2'!H238</f>
        <v>24460</v>
      </c>
      <c r="E9" s="15">
        <f>'TABLA GENERAL FASE 1 Y 2'!J238</f>
        <v>4</v>
      </c>
      <c r="F9" s="60">
        <f>E9*D9</f>
        <v>97840</v>
      </c>
      <c r="G9" s="15">
        <f>'TABLA GENERAL FASE 1 Y 2'!L238</f>
        <v>0</v>
      </c>
      <c r="H9" s="60">
        <f>G9*D9</f>
        <v>0</v>
      </c>
      <c r="I9" s="15">
        <f>'TABLA GENERAL FASE 1 Y 2'!N238</f>
        <v>0</v>
      </c>
      <c r="J9" s="60">
        <f>I9*D9</f>
        <v>0</v>
      </c>
      <c r="K9" s="15">
        <f>'TABLA GENERAL FASE 1 Y 2'!P238</f>
        <v>1</v>
      </c>
      <c r="L9" s="60">
        <f>K9*D9</f>
        <v>24460</v>
      </c>
      <c r="M9" s="18">
        <f t="shared" ref="M9:N9" si="1">K9+I9+G9+E9</f>
        <v>5</v>
      </c>
      <c r="N9" s="18">
        <f t="shared" si="1"/>
        <v>122300</v>
      </c>
    </row>
    <row r="10" spans="2:14" ht="26.25" thickTop="1" thickBot="1" x14ac:dyDescent="0.3">
      <c r="B10" s="62" t="s">
        <v>63</v>
      </c>
      <c r="C10" s="63" t="s">
        <v>62</v>
      </c>
      <c r="D10" s="15">
        <v>8.9999999999999993E-3</v>
      </c>
      <c r="E10" s="681"/>
      <c r="F10" s="97">
        <f>$D$10*$D$9*E9</f>
        <v>880.56</v>
      </c>
      <c r="G10" s="681"/>
      <c r="H10" s="97">
        <f>$D$10*$D$9*G9</f>
        <v>0</v>
      </c>
      <c r="I10" s="681"/>
      <c r="J10" s="97">
        <f>$D$10*$D$9*I9</f>
        <v>0</v>
      </c>
      <c r="K10" s="681"/>
      <c r="L10" s="97">
        <f>$D$10*$D$9*K9</f>
        <v>220.14</v>
      </c>
      <c r="M10" s="688"/>
      <c r="N10" s="77"/>
    </row>
    <row r="11" spans="2:14" ht="15.75" thickBot="1" x14ac:dyDescent="0.3">
      <c r="B11" s="62" t="s">
        <v>61</v>
      </c>
      <c r="C11" s="16" t="s">
        <v>60</v>
      </c>
      <c r="D11" s="15">
        <v>5.0000000000000001E-3</v>
      </c>
      <c r="E11" s="682"/>
      <c r="F11" s="97">
        <f>$D$11*$D$9*E9</f>
        <v>489.2</v>
      </c>
      <c r="G11" s="682"/>
      <c r="H11" s="97">
        <f>$D$11*$D$9*G9</f>
        <v>0</v>
      </c>
      <c r="I11" s="682"/>
      <c r="J11" s="97">
        <f>$D$11*$D$9*I9</f>
        <v>0</v>
      </c>
      <c r="K11" s="682"/>
      <c r="L11" s="97">
        <f>$D$11*$D$9*K9</f>
        <v>122.3</v>
      </c>
      <c r="M11" s="689"/>
      <c r="N11" s="77"/>
    </row>
    <row r="12" spans="2:14" ht="15.75" thickBot="1" x14ac:dyDescent="0.3">
      <c r="B12" s="67" t="s">
        <v>67</v>
      </c>
      <c r="C12" s="16" t="s">
        <v>189</v>
      </c>
      <c r="D12" s="15">
        <f>0.15</f>
        <v>0.15</v>
      </c>
      <c r="E12" s="65"/>
      <c r="F12" s="97">
        <f>$D$9*$E$9*D12</f>
        <v>14676</v>
      </c>
      <c r="G12" s="65"/>
      <c r="H12" s="97">
        <f>$D$9*$E$9*D12</f>
        <v>14676</v>
      </c>
      <c r="I12" s="65"/>
      <c r="J12" s="97">
        <f>$D$9*$I$9*D12</f>
        <v>0</v>
      </c>
      <c r="K12" s="65"/>
      <c r="L12" s="97">
        <f>$D$9*$K$9*D12</f>
        <v>3669</v>
      </c>
      <c r="M12" s="80"/>
      <c r="N12" s="77"/>
    </row>
    <row r="13" spans="2:14" ht="31.5" thickTop="1" thickBot="1" x14ac:dyDescent="0.3">
      <c r="B13" s="56" t="s">
        <v>200</v>
      </c>
      <c r="C13" s="106" t="s">
        <v>201</v>
      </c>
      <c r="D13" s="71">
        <f>'TABLA GENERAL FASE 1 Y 2'!H239</f>
        <v>2493</v>
      </c>
      <c r="E13" s="51">
        <f>'TABLA GENERAL FASE 1 Y 2'!J239</f>
        <v>1</v>
      </c>
      <c r="F13" s="60">
        <f>E13*D13</f>
        <v>2493</v>
      </c>
      <c r="G13" s="51">
        <f>'TABLA GENERAL FASE 1 Y 2'!L239</f>
        <v>0</v>
      </c>
      <c r="H13" s="60">
        <f>G13*D13</f>
        <v>0</v>
      </c>
      <c r="I13" s="51">
        <f>'TABLA GENERAL FASE 1 Y 2'!N239</f>
        <v>0</v>
      </c>
      <c r="J13" s="60">
        <f>I13*D13</f>
        <v>0</v>
      </c>
      <c r="K13" s="51">
        <f>'TABLA GENERAL FASE 1 Y 2'!P239</f>
        <v>1</v>
      </c>
      <c r="L13" s="60">
        <f>K13*D13</f>
        <v>2493</v>
      </c>
      <c r="M13" s="18">
        <f t="shared" ref="M13:N13" si="2">K13+I13+G13+E13</f>
        <v>2</v>
      </c>
      <c r="N13" s="18">
        <f t="shared" si="2"/>
        <v>4986</v>
      </c>
    </row>
    <row r="14" spans="2:14" ht="25.5" thickBot="1" x14ac:dyDescent="0.3">
      <c r="B14" s="62" t="s">
        <v>63</v>
      </c>
      <c r="C14" s="63" t="s">
        <v>62</v>
      </c>
      <c r="D14" s="15">
        <v>0.01</v>
      </c>
      <c r="E14" s="681"/>
      <c r="F14" s="97">
        <f>$D$14*$D$13*E13</f>
        <v>24.93</v>
      </c>
      <c r="G14" s="681"/>
      <c r="H14" s="97">
        <f>$D$14*$D$13*G13</f>
        <v>0</v>
      </c>
      <c r="I14" s="681"/>
      <c r="J14" s="97">
        <f>$D$14*$D$13*I13</f>
        <v>0</v>
      </c>
      <c r="K14" s="681"/>
      <c r="L14" s="97">
        <f>$D$14*$D$13*K13</f>
        <v>24.93</v>
      </c>
      <c r="M14" s="688"/>
      <c r="N14" s="77"/>
    </row>
    <row r="15" spans="2:14" ht="15.75" thickBot="1" x14ac:dyDescent="0.3">
      <c r="B15" s="62" t="s">
        <v>61</v>
      </c>
      <c r="C15" s="16" t="s">
        <v>60</v>
      </c>
      <c r="D15" s="15">
        <v>0.01</v>
      </c>
      <c r="E15" s="682"/>
      <c r="F15" s="97">
        <f>$D$15*$D$13*E13</f>
        <v>24.93</v>
      </c>
      <c r="G15" s="682"/>
      <c r="H15" s="97">
        <f>$D$15*$D$13*G13</f>
        <v>0</v>
      </c>
      <c r="I15" s="682"/>
      <c r="J15" s="97">
        <f>$D$15*$D$13*I13</f>
        <v>0</v>
      </c>
      <c r="K15" s="682"/>
      <c r="L15" s="97">
        <f>$D$15*$D$13*K13</f>
        <v>24.93</v>
      </c>
      <c r="M15" s="689"/>
      <c r="N15" s="77"/>
    </row>
    <row r="16" spans="2:14" ht="15.75" thickBot="1" x14ac:dyDescent="0.3">
      <c r="B16" s="67" t="s">
        <v>67</v>
      </c>
      <c r="C16" s="16" t="s">
        <v>189</v>
      </c>
      <c r="D16" s="15">
        <f>0.15</f>
        <v>0.15</v>
      </c>
      <c r="E16" s="65"/>
      <c r="F16" s="97">
        <f>D13*$E$13*$D$16</f>
        <v>373.95</v>
      </c>
      <c r="G16" s="65"/>
      <c r="H16" s="97">
        <f>G13*$E$13*$D$16</f>
        <v>0</v>
      </c>
      <c r="I16" s="65"/>
      <c r="J16" s="97">
        <f>I13*$E$13*$D$16</f>
        <v>0</v>
      </c>
      <c r="K16" s="65"/>
      <c r="L16" s="97">
        <f>K13*$D$13*$D$16</f>
        <v>373.95</v>
      </c>
      <c r="M16" s="80"/>
      <c r="N16" s="77"/>
    </row>
    <row r="17" spans="3:24" thickBot="1" x14ac:dyDescent="0.35">
      <c r="D17" s="28">
        <v>2021</v>
      </c>
      <c r="E17">
        <v>1</v>
      </c>
      <c r="F17" s="103">
        <f>F6+F7+F10+F11+F14+F15</f>
        <v>1419.6200000000001</v>
      </c>
      <c r="G17">
        <v>2022</v>
      </c>
      <c r="H17" s="103">
        <f>H6+H7+H10+H11+H14+H15</f>
        <v>0</v>
      </c>
      <c r="I17">
        <v>2023</v>
      </c>
      <c r="J17" s="103">
        <f>J6+J7+J10+J11+J14+J15</f>
        <v>4359.5520000000006</v>
      </c>
      <c r="K17">
        <v>2025</v>
      </c>
      <c r="L17" s="103">
        <f>L6+L7+L10+L11+L14+L15</f>
        <v>392.3</v>
      </c>
    </row>
    <row r="18" spans="3:24" ht="14.45" x14ac:dyDescent="0.3">
      <c r="D18" s="35"/>
      <c r="E18">
        <v>2</v>
      </c>
      <c r="F18" s="97">
        <f>F16+F12+F8</f>
        <v>15049.95</v>
      </c>
      <c r="H18" s="97">
        <f>H16+H12+H8</f>
        <v>14676</v>
      </c>
      <c r="J18" s="97">
        <f>J16+J12+J8</f>
        <v>8174.16</v>
      </c>
      <c r="L18" s="97">
        <f>L16+L12+L8</f>
        <v>4042.95</v>
      </c>
    </row>
    <row r="20" spans="3:24" ht="14.45" x14ac:dyDescent="0.3">
      <c r="D20" s="221">
        <v>2021</v>
      </c>
      <c r="E20" s="221">
        <v>2022</v>
      </c>
      <c r="F20" s="221">
        <v>2023</v>
      </c>
      <c r="G20" s="221">
        <v>2024</v>
      </c>
      <c r="H20" s="221">
        <v>2025</v>
      </c>
      <c r="I20" s="221">
        <v>2026</v>
      </c>
      <c r="J20" s="221">
        <v>2027</v>
      </c>
      <c r="K20" s="221">
        <v>2028</v>
      </c>
      <c r="L20" s="221">
        <v>2029</v>
      </c>
      <c r="M20" s="221">
        <v>2030</v>
      </c>
      <c r="N20" s="221">
        <v>2031</v>
      </c>
      <c r="O20" s="221">
        <v>2032</v>
      </c>
      <c r="P20" s="221">
        <v>2033</v>
      </c>
      <c r="Q20" s="221">
        <v>2034</v>
      </c>
      <c r="R20" s="221">
        <v>2035</v>
      </c>
      <c r="S20" s="221">
        <v>2036</v>
      </c>
      <c r="T20" s="221">
        <v>2037</v>
      </c>
      <c r="U20" s="221">
        <v>2038</v>
      </c>
      <c r="V20" s="221">
        <v>2039</v>
      </c>
      <c r="W20" s="221">
        <v>2040</v>
      </c>
    </row>
    <row r="21" spans="3:24" x14ac:dyDescent="0.25">
      <c r="D21" s="221" t="s">
        <v>59</v>
      </c>
      <c r="E21" s="221" t="s">
        <v>40</v>
      </c>
      <c r="F21" s="221" t="s">
        <v>39</v>
      </c>
      <c r="G21" s="221" t="s">
        <v>38</v>
      </c>
      <c r="H21" s="221" t="s">
        <v>58</v>
      </c>
      <c r="I21" s="221" t="s">
        <v>36</v>
      </c>
      <c r="J21" s="221" t="s">
        <v>35</v>
      </c>
      <c r="K21" s="221" t="s">
        <v>34</v>
      </c>
      <c r="L21" s="221" t="s">
        <v>33</v>
      </c>
      <c r="M21" s="221" t="s">
        <v>32</v>
      </c>
      <c r="N21" s="221" t="s">
        <v>31</v>
      </c>
      <c r="O21" s="221" t="s">
        <v>30</v>
      </c>
      <c r="P21" s="221" t="s">
        <v>57</v>
      </c>
      <c r="Q21" s="221" t="s">
        <v>56</v>
      </c>
      <c r="R21" s="221" t="s">
        <v>27</v>
      </c>
      <c r="S21" s="221" t="s">
        <v>55</v>
      </c>
      <c r="T21" s="221" t="s">
        <v>54</v>
      </c>
      <c r="U21" s="221" t="s">
        <v>24</v>
      </c>
      <c r="V21" s="221" t="s">
        <v>23</v>
      </c>
      <c r="W21" s="221" t="s">
        <v>53</v>
      </c>
    </row>
    <row r="22" spans="3:24" ht="15" customHeight="1" x14ac:dyDescent="0.3">
      <c r="C22" s="5" t="s">
        <v>134</v>
      </c>
      <c r="D22" s="3"/>
      <c r="E22" s="3">
        <f>F17</f>
        <v>1419.6200000000001</v>
      </c>
      <c r="F22" s="3">
        <f>F17+H16</f>
        <v>1419.6200000000001</v>
      </c>
      <c r="G22" s="3">
        <f>F17+H17+J17</f>
        <v>5779.1720000000005</v>
      </c>
      <c r="H22" s="3">
        <f>G22</f>
        <v>5779.1720000000005</v>
      </c>
      <c r="I22" s="3">
        <f>$F$17+$H$17+$J$17+$L$17</f>
        <v>6171.4720000000007</v>
      </c>
      <c r="J22" s="3">
        <f t="shared" ref="J22:W22" si="3">$F$17+$H$17+$J$17+$L$17</f>
        <v>6171.4720000000007</v>
      </c>
      <c r="K22" s="3">
        <f t="shared" si="3"/>
        <v>6171.4720000000007</v>
      </c>
      <c r="L22" s="3">
        <f t="shared" si="3"/>
        <v>6171.4720000000007</v>
      </c>
      <c r="M22" s="3">
        <f t="shared" si="3"/>
        <v>6171.4720000000007</v>
      </c>
      <c r="N22" s="3">
        <f t="shared" si="3"/>
        <v>6171.4720000000007</v>
      </c>
      <c r="O22" s="3">
        <f t="shared" si="3"/>
        <v>6171.4720000000007</v>
      </c>
      <c r="P22" s="3">
        <f t="shared" si="3"/>
        <v>6171.4720000000007</v>
      </c>
      <c r="Q22" s="3">
        <f t="shared" si="3"/>
        <v>6171.4720000000007</v>
      </c>
      <c r="R22" s="3">
        <f t="shared" si="3"/>
        <v>6171.4720000000007</v>
      </c>
      <c r="S22" s="3">
        <f t="shared" si="3"/>
        <v>6171.4720000000007</v>
      </c>
      <c r="T22" s="3">
        <f t="shared" si="3"/>
        <v>6171.4720000000007</v>
      </c>
      <c r="U22" s="3">
        <f t="shared" si="3"/>
        <v>6171.4720000000007</v>
      </c>
      <c r="V22" s="3">
        <f t="shared" si="3"/>
        <v>6171.4720000000007</v>
      </c>
      <c r="W22" s="3">
        <f t="shared" si="3"/>
        <v>6171.4720000000007</v>
      </c>
    </row>
    <row r="23" spans="3:24" ht="15" customHeight="1" x14ac:dyDescent="0.25">
      <c r="C23" s="90" t="s">
        <v>189</v>
      </c>
      <c r="D23" s="3"/>
      <c r="E23" s="3"/>
      <c r="F23" s="3"/>
      <c r="G23" s="3"/>
      <c r="H23" s="3"/>
      <c r="I23" s="3">
        <f>$F$18</f>
        <v>15049.95</v>
      </c>
      <c r="J23" s="3">
        <f>$H$18</f>
        <v>14676</v>
      </c>
      <c r="K23" s="3">
        <f>$J$18</f>
        <v>8174.16</v>
      </c>
      <c r="L23" s="3"/>
      <c r="M23" s="3">
        <f>$L$18</f>
        <v>4042.95</v>
      </c>
      <c r="N23" s="3">
        <f>$F$18</f>
        <v>15049.95</v>
      </c>
      <c r="O23" s="3">
        <f>$H$18</f>
        <v>14676</v>
      </c>
      <c r="P23" s="3">
        <f>$J$18</f>
        <v>8174.16</v>
      </c>
      <c r="Q23" s="3"/>
      <c r="R23" s="3">
        <f>$L$18</f>
        <v>4042.95</v>
      </c>
      <c r="S23" s="3">
        <f>$F$18</f>
        <v>15049.95</v>
      </c>
      <c r="T23" s="3">
        <f>$H$18</f>
        <v>14676</v>
      </c>
      <c r="U23" s="3">
        <f>$J$18</f>
        <v>8174.16</v>
      </c>
      <c r="V23" s="3"/>
      <c r="W23" s="225">
        <f>$L$18</f>
        <v>4042.95</v>
      </c>
    </row>
    <row r="24" spans="3:24" ht="15" customHeight="1" thickBot="1" x14ac:dyDescent="0.35">
      <c r="C24" s="5" t="s">
        <v>46</v>
      </c>
      <c r="D24" s="3">
        <f t="shared" ref="D24" si="4">SUM(D22:D23)</f>
        <v>0</v>
      </c>
      <c r="E24" s="3">
        <f>SUM(E22:E23)</f>
        <v>1419.6200000000001</v>
      </c>
      <c r="F24" s="3">
        <f t="shared" ref="F24:V24" si="5">SUM(F22:F23)</f>
        <v>1419.6200000000001</v>
      </c>
      <c r="G24" s="3">
        <f t="shared" si="5"/>
        <v>5779.1720000000005</v>
      </c>
      <c r="H24" s="3">
        <f t="shared" si="5"/>
        <v>5779.1720000000005</v>
      </c>
      <c r="I24" s="3">
        <f t="shared" si="5"/>
        <v>21221.422000000002</v>
      </c>
      <c r="J24" s="3">
        <f t="shared" si="5"/>
        <v>20847.472000000002</v>
      </c>
      <c r="K24" s="3">
        <f t="shared" si="5"/>
        <v>14345.632000000001</v>
      </c>
      <c r="L24" s="3">
        <f t="shared" si="5"/>
        <v>6171.4720000000007</v>
      </c>
      <c r="M24" s="3">
        <f t="shared" si="5"/>
        <v>10214.422</v>
      </c>
      <c r="N24" s="3">
        <f t="shared" si="5"/>
        <v>21221.422000000002</v>
      </c>
      <c r="O24" s="3">
        <f t="shared" si="5"/>
        <v>20847.472000000002</v>
      </c>
      <c r="P24" s="3">
        <f t="shared" si="5"/>
        <v>14345.632000000001</v>
      </c>
      <c r="Q24" s="3">
        <f t="shared" si="5"/>
        <v>6171.4720000000007</v>
      </c>
      <c r="R24" s="3">
        <f t="shared" si="5"/>
        <v>10214.422</v>
      </c>
      <c r="S24" s="3">
        <f t="shared" si="5"/>
        <v>21221.422000000002</v>
      </c>
      <c r="T24" s="3">
        <f t="shared" si="5"/>
        <v>20847.472000000002</v>
      </c>
      <c r="U24" s="3">
        <f t="shared" si="5"/>
        <v>14345.632000000001</v>
      </c>
      <c r="V24" s="3">
        <f t="shared" si="5"/>
        <v>6171.4720000000007</v>
      </c>
      <c r="W24" s="225">
        <f>SUM(W22:W23)</f>
        <v>10214.422</v>
      </c>
    </row>
    <row r="25" spans="3:24" ht="14.45" x14ac:dyDescent="0.3">
      <c r="X25" s="231"/>
    </row>
    <row r="26" spans="3:24" thickBot="1" x14ac:dyDescent="0.35">
      <c r="X26" s="226"/>
    </row>
    <row r="77" ht="15" customHeight="1" x14ac:dyDescent="0.25"/>
    <row r="78" ht="15" customHeight="1" x14ac:dyDescent="0.25"/>
    <row r="79" ht="15" customHeight="1" x14ac:dyDescent="0.25"/>
    <row r="106" ht="15" customHeight="1" x14ac:dyDescent="0.25"/>
    <row r="107" ht="15" customHeight="1" x14ac:dyDescent="0.25"/>
    <row r="108" ht="15" customHeight="1" x14ac:dyDescent="0.25"/>
  </sheetData>
  <mergeCells count="15">
    <mergeCell ref="E14:E15"/>
    <mergeCell ref="G14:G15"/>
    <mergeCell ref="I14:I15"/>
    <mergeCell ref="K14:K15"/>
    <mergeCell ref="M14:M15"/>
    <mergeCell ref="E6:E7"/>
    <mergeCell ref="G6:G7"/>
    <mergeCell ref="I6:I7"/>
    <mergeCell ref="K6:K7"/>
    <mergeCell ref="M6:M7"/>
    <mergeCell ref="E10:E11"/>
    <mergeCell ref="G10:G11"/>
    <mergeCell ref="I10:I11"/>
    <mergeCell ref="K10:K11"/>
    <mergeCell ref="M10:M1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X100"/>
  <sheetViews>
    <sheetView topLeftCell="J1" zoomScale="90" zoomScaleNormal="90" workbookViewId="0">
      <selection activeCell="X14" sqref="X14:X16"/>
    </sheetView>
  </sheetViews>
  <sheetFormatPr baseColWidth="10" defaultRowHeight="15" x14ac:dyDescent="0.25"/>
  <cols>
    <col min="1" max="1" width="2.28515625" customWidth="1"/>
    <col min="2" max="2" width="6.7109375" bestFit="1" customWidth="1"/>
    <col min="3" max="3" width="36.42578125" bestFit="1" customWidth="1"/>
    <col min="4" max="5" width="12.42578125" bestFit="1" customWidth="1"/>
    <col min="6" max="6" width="14.7109375" bestFit="1" customWidth="1"/>
    <col min="7" max="7" width="13.28515625" bestFit="1" customWidth="1"/>
    <col min="8" max="8" width="16" bestFit="1" customWidth="1"/>
    <col min="9" max="9" width="13.28515625" bestFit="1" customWidth="1"/>
    <col min="10" max="10" width="22.7109375" bestFit="1" customWidth="1"/>
    <col min="11" max="11" width="13.28515625" bestFit="1" customWidth="1"/>
    <col min="12" max="12" width="14.7109375" bestFit="1" customWidth="1"/>
    <col min="13" max="23" width="13.28515625" bestFit="1" customWidth="1"/>
    <col min="24" max="24" width="12" bestFit="1" customWidth="1"/>
  </cols>
  <sheetData>
    <row r="3" spans="2:23" thickBot="1" x14ac:dyDescent="0.35"/>
    <row r="4" spans="2:23" ht="50.25" thickBot="1" x14ac:dyDescent="0.3">
      <c r="B4" s="89"/>
      <c r="C4" s="89" t="s">
        <v>122</v>
      </c>
      <c r="D4" s="89" t="s">
        <v>123</v>
      </c>
      <c r="E4" s="89">
        <v>2021</v>
      </c>
      <c r="F4" s="89" t="s">
        <v>79</v>
      </c>
      <c r="G4" s="89">
        <v>2022</v>
      </c>
      <c r="H4" s="89" t="s">
        <v>79</v>
      </c>
      <c r="I4" s="89">
        <v>2023</v>
      </c>
      <c r="J4" s="89" t="s">
        <v>79</v>
      </c>
      <c r="K4" s="89">
        <v>2025</v>
      </c>
      <c r="L4" s="89" t="s">
        <v>79</v>
      </c>
      <c r="M4" s="89" t="s">
        <v>124</v>
      </c>
      <c r="N4" s="89" t="s">
        <v>77</v>
      </c>
    </row>
    <row r="5" spans="2:23" thickBot="1" x14ac:dyDescent="0.35">
      <c r="B5" s="234" t="s">
        <v>202</v>
      </c>
      <c r="C5" s="232" t="s">
        <v>719</v>
      </c>
      <c r="D5" s="235">
        <f>'TABLA GENERAL FASE 1 Y 2'!H244</f>
        <v>172012</v>
      </c>
      <c r="E5" s="236">
        <f>'TABLA GENERAL FASE 1 Y 2'!J244</f>
        <v>0</v>
      </c>
      <c r="F5" s="237">
        <f>E5*D5</f>
        <v>0</v>
      </c>
      <c r="G5" s="236">
        <f>'TABLA GENERAL FASE 1 Y 2'!L244</f>
        <v>0</v>
      </c>
      <c r="H5" s="237">
        <f>G5*D5</f>
        <v>0</v>
      </c>
      <c r="I5" s="236">
        <f>'TABLA GENERAL FASE 1 Y 2'!N244</f>
        <v>0</v>
      </c>
      <c r="J5" s="237">
        <f>I5*D5</f>
        <v>0</v>
      </c>
      <c r="K5" s="236">
        <f>'TABLA GENERAL FASE 1 Y 2'!P244</f>
        <v>1</v>
      </c>
      <c r="L5" s="237">
        <f>K5*D5</f>
        <v>172012</v>
      </c>
      <c r="M5" s="238">
        <f t="shared" ref="M5:N5" si="0">K5+I5+G5+E5</f>
        <v>1</v>
      </c>
      <c r="N5" s="239">
        <f t="shared" si="0"/>
        <v>172012</v>
      </c>
    </row>
    <row r="6" spans="2:23" ht="25.5" thickBot="1" x14ac:dyDescent="0.3">
      <c r="B6" s="64" t="s">
        <v>63</v>
      </c>
      <c r="C6" s="233" t="s">
        <v>62</v>
      </c>
      <c r="D6" s="209">
        <v>1.6E-2</v>
      </c>
      <c r="E6" s="682"/>
      <c r="F6" s="103">
        <f>$D$6*$D$5*E5</f>
        <v>0</v>
      </c>
      <c r="G6" s="682"/>
      <c r="H6" s="103">
        <f>$D$6*$D$5*G5</f>
        <v>0</v>
      </c>
      <c r="I6" s="682"/>
      <c r="J6" s="103">
        <f>$D$6*$D$5*I5</f>
        <v>0</v>
      </c>
      <c r="K6" s="682"/>
      <c r="L6" s="103">
        <f>$D$6*$D$5*K5</f>
        <v>2752.192</v>
      </c>
      <c r="M6" s="689"/>
      <c r="N6" s="77"/>
    </row>
    <row r="7" spans="2:23" ht="15.75" thickBot="1" x14ac:dyDescent="0.3">
      <c r="B7" s="62" t="s">
        <v>61</v>
      </c>
      <c r="C7" s="16" t="s">
        <v>60</v>
      </c>
      <c r="D7" s="15">
        <v>1.2E-2</v>
      </c>
      <c r="E7" s="682"/>
      <c r="F7" s="97">
        <f>$D$7*$D$5*E5</f>
        <v>0</v>
      </c>
      <c r="G7" s="682"/>
      <c r="H7" s="97">
        <f>$D$7*$D$5*G5</f>
        <v>0</v>
      </c>
      <c r="I7" s="682"/>
      <c r="J7" s="97">
        <f>$D$7*$D$5*I5</f>
        <v>0</v>
      </c>
      <c r="K7" s="682"/>
      <c r="L7" s="97">
        <f>$D$7*$D$5*K5</f>
        <v>2064.1440000000002</v>
      </c>
      <c r="M7" s="689"/>
      <c r="N7" s="77"/>
    </row>
    <row r="8" spans="2:23" ht="15.75" thickBot="1" x14ac:dyDescent="0.3">
      <c r="B8" s="67" t="s">
        <v>67</v>
      </c>
      <c r="C8" s="52" t="s">
        <v>189</v>
      </c>
      <c r="D8" s="51">
        <f>0.05</f>
        <v>0.05</v>
      </c>
      <c r="E8" s="210"/>
      <c r="F8" s="100">
        <f>D5*E5*D8</f>
        <v>0</v>
      </c>
      <c r="G8" s="210"/>
      <c r="H8" s="100">
        <f>$D$8*$D$5*G5</f>
        <v>0</v>
      </c>
      <c r="I8" s="210"/>
      <c r="J8" s="100">
        <f>$D$8*$D$5*I5</f>
        <v>0</v>
      </c>
      <c r="K8" s="210"/>
      <c r="L8" s="100">
        <f>$D$8*$D$5*K5</f>
        <v>8600.6</v>
      </c>
      <c r="M8" s="101"/>
      <c r="N8" s="102"/>
    </row>
    <row r="9" spans="2:23" thickBot="1" x14ac:dyDescent="0.35">
      <c r="D9" s="28">
        <v>2021</v>
      </c>
      <c r="E9">
        <v>1</v>
      </c>
      <c r="F9" s="103">
        <f>F6+F7</f>
        <v>0</v>
      </c>
      <c r="G9">
        <v>2022</v>
      </c>
      <c r="H9" s="103">
        <f>H6+H7</f>
        <v>0</v>
      </c>
      <c r="I9">
        <v>2023</v>
      </c>
      <c r="J9" s="103">
        <f>J6+J7</f>
        <v>0</v>
      </c>
      <c r="K9">
        <v>2025</v>
      </c>
      <c r="L9" s="103">
        <f>L6+L7</f>
        <v>4816.3360000000002</v>
      </c>
    </row>
    <row r="10" spans="2:23" ht="14.45" x14ac:dyDescent="0.3">
      <c r="D10" s="35"/>
      <c r="E10">
        <v>2</v>
      </c>
      <c r="F10" s="97">
        <f>F8</f>
        <v>0</v>
      </c>
      <c r="H10" s="97">
        <f>H8</f>
        <v>0</v>
      </c>
      <c r="J10" s="97">
        <f>J8</f>
        <v>0</v>
      </c>
      <c r="L10" s="97">
        <f>L8</f>
        <v>8600.6</v>
      </c>
    </row>
    <row r="12" spans="2:23" ht="14.45" x14ac:dyDescent="0.3">
      <c r="D12" s="221">
        <v>2021</v>
      </c>
      <c r="E12" s="221">
        <v>2022</v>
      </c>
      <c r="F12" s="221">
        <v>2023</v>
      </c>
      <c r="G12" s="221">
        <v>2024</v>
      </c>
      <c r="H12" s="221">
        <v>2025</v>
      </c>
      <c r="I12" s="221">
        <v>2026</v>
      </c>
      <c r="J12" s="221">
        <v>2027</v>
      </c>
      <c r="K12" s="221">
        <v>2028</v>
      </c>
      <c r="L12" s="221">
        <v>2029</v>
      </c>
      <c r="M12" s="221">
        <v>2030</v>
      </c>
      <c r="N12" s="221">
        <v>2031</v>
      </c>
      <c r="O12" s="221">
        <v>2032</v>
      </c>
      <c r="P12" s="221">
        <v>2033</v>
      </c>
      <c r="Q12" s="221">
        <v>2034</v>
      </c>
      <c r="R12" s="221">
        <v>2035</v>
      </c>
      <c r="S12" s="221">
        <v>2036</v>
      </c>
      <c r="T12" s="221">
        <v>2037</v>
      </c>
      <c r="U12" s="221">
        <v>2038</v>
      </c>
      <c r="V12" s="221">
        <v>2039</v>
      </c>
      <c r="W12" s="221">
        <v>2040</v>
      </c>
    </row>
    <row r="13" spans="2:23" x14ac:dyDescent="0.25">
      <c r="D13" s="221" t="s">
        <v>59</v>
      </c>
      <c r="E13" s="221" t="s">
        <v>40</v>
      </c>
      <c r="F13" s="221" t="s">
        <v>39</v>
      </c>
      <c r="G13" s="221" t="s">
        <v>38</v>
      </c>
      <c r="H13" s="221" t="s">
        <v>58</v>
      </c>
      <c r="I13" s="221" t="s">
        <v>36</v>
      </c>
      <c r="J13" s="221" t="s">
        <v>35</v>
      </c>
      <c r="K13" s="221" t="s">
        <v>34</v>
      </c>
      <c r="L13" s="221" t="s">
        <v>33</v>
      </c>
      <c r="M13" s="221" t="s">
        <v>32</v>
      </c>
      <c r="N13" s="221" t="s">
        <v>31</v>
      </c>
      <c r="O13" s="221" t="s">
        <v>30</v>
      </c>
      <c r="P13" s="221" t="s">
        <v>57</v>
      </c>
      <c r="Q13" s="221" t="s">
        <v>56</v>
      </c>
      <c r="R13" s="221" t="s">
        <v>27</v>
      </c>
      <c r="S13" s="221" t="s">
        <v>55</v>
      </c>
      <c r="T13" s="221" t="s">
        <v>54</v>
      </c>
      <c r="U13" s="221" t="s">
        <v>24</v>
      </c>
      <c r="V13" s="221" t="s">
        <v>23</v>
      </c>
      <c r="W13" s="221" t="s">
        <v>53</v>
      </c>
    </row>
    <row r="14" spans="2:23" ht="15" customHeight="1" x14ac:dyDescent="0.3">
      <c r="C14" s="5" t="s">
        <v>134</v>
      </c>
      <c r="D14" s="3"/>
      <c r="E14" s="3"/>
      <c r="F14" s="3"/>
      <c r="G14" s="3"/>
      <c r="H14" s="3"/>
      <c r="I14" s="3">
        <f>$L$9</f>
        <v>4816.3360000000002</v>
      </c>
      <c r="J14" s="3">
        <f t="shared" ref="J14:W14" si="1">$L$9</f>
        <v>4816.3360000000002</v>
      </c>
      <c r="K14" s="3">
        <f t="shared" si="1"/>
        <v>4816.3360000000002</v>
      </c>
      <c r="L14" s="3">
        <f t="shared" si="1"/>
        <v>4816.3360000000002</v>
      </c>
      <c r="M14" s="3">
        <f t="shared" si="1"/>
        <v>4816.3360000000002</v>
      </c>
      <c r="N14" s="3">
        <f t="shared" si="1"/>
        <v>4816.3360000000002</v>
      </c>
      <c r="O14" s="3">
        <f t="shared" si="1"/>
        <v>4816.3360000000002</v>
      </c>
      <c r="P14" s="3">
        <f t="shared" si="1"/>
        <v>4816.3360000000002</v>
      </c>
      <c r="Q14" s="3">
        <f t="shared" si="1"/>
        <v>4816.3360000000002</v>
      </c>
      <c r="R14" s="3">
        <f t="shared" si="1"/>
        <v>4816.3360000000002</v>
      </c>
      <c r="S14" s="3">
        <f t="shared" si="1"/>
        <v>4816.3360000000002</v>
      </c>
      <c r="T14" s="3">
        <f t="shared" si="1"/>
        <v>4816.3360000000002</v>
      </c>
      <c r="U14" s="3">
        <f t="shared" si="1"/>
        <v>4816.3360000000002</v>
      </c>
      <c r="V14" s="3">
        <f t="shared" si="1"/>
        <v>4816.3360000000002</v>
      </c>
      <c r="W14" s="3">
        <f t="shared" si="1"/>
        <v>4816.3360000000002</v>
      </c>
    </row>
    <row r="15" spans="2:23" ht="15" customHeight="1" x14ac:dyDescent="0.25">
      <c r="C15" s="90" t="s">
        <v>189</v>
      </c>
      <c r="D15" s="3"/>
      <c r="E15" s="3"/>
      <c r="F15" s="3"/>
      <c r="G15" s="3"/>
      <c r="H15" s="3"/>
      <c r="I15" s="3"/>
      <c r="J15" s="3"/>
      <c r="K15" s="3"/>
      <c r="L15" s="3"/>
      <c r="M15" s="3">
        <f>$L$10</f>
        <v>8600.6</v>
      </c>
      <c r="N15" s="3"/>
      <c r="O15" s="3"/>
      <c r="P15" s="3"/>
      <c r="Q15" s="3"/>
      <c r="R15" s="3">
        <f>$L$10</f>
        <v>8600.6</v>
      </c>
      <c r="S15" s="3"/>
      <c r="T15" s="3"/>
      <c r="U15" s="3"/>
      <c r="V15" s="3"/>
      <c r="W15" s="225">
        <f>$L$10</f>
        <v>8600.6</v>
      </c>
    </row>
    <row r="16" spans="2:23" ht="15" customHeight="1" x14ac:dyDescent="0.3">
      <c r="C16" s="5" t="s">
        <v>46</v>
      </c>
      <c r="D16" s="3">
        <f>SUM(D14:D15)</f>
        <v>0</v>
      </c>
      <c r="E16" s="3">
        <f>SUM(E14:E15)</f>
        <v>0</v>
      </c>
      <c r="F16" s="3">
        <f t="shared" ref="F16:V16" si="2">SUM(F14:F15)</f>
        <v>0</v>
      </c>
      <c r="G16" s="3">
        <f t="shared" si="2"/>
        <v>0</v>
      </c>
      <c r="H16" s="3">
        <f t="shared" si="2"/>
        <v>0</v>
      </c>
      <c r="I16" s="3">
        <f t="shared" si="2"/>
        <v>4816.3360000000002</v>
      </c>
      <c r="J16" s="3">
        <f t="shared" si="2"/>
        <v>4816.3360000000002</v>
      </c>
      <c r="K16" s="3">
        <f t="shared" si="2"/>
        <v>4816.3360000000002</v>
      </c>
      <c r="L16" s="3">
        <f t="shared" si="2"/>
        <v>4816.3360000000002</v>
      </c>
      <c r="M16" s="3">
        <f t="shared" si="2"/>
        <v>13416.936000000002</v>
      </c>
      <c r="N16" s="3">
        <f t="shared" si="2"/>
        <v>4816.3360000000002</v>
      </c>
      <c r="O16" s="3">
        <f t="shared" si="2"/>
        <v>4816.3360000000002</v>
      </c>
      <c r="P16" s="3">
        <f t="shared" si="2"/>
        <v>4816.3360000000002</v>
      </c>
      <c r="Q16" s="3">
        <f t="shared" si="2"/>
        <v>4816.3360000000002</v>
      </c>
      <c r="R16" s="3">
        <f t="shared" si="2"/>
        <v>13416.936000000002</v>
      </c>
      <c r="S16" s="3">
        <f t="shared" si="2"/>
        <v>4816.3360000000002</v>
      </c>
      <c r="T16" s="3">
        <f t="shared" si="2"/>
        <v>4816.3360000000002</v>
      </c>
      <c r="U16" s="3">
        <f t="shared" si="2"/>
        <v>4816.3360000000002</v>
      </c>
      <c r="V16" s="3">
        <f t="shared" si="2"/>
        <v>4816.3360000000002</v>
      </c>
      <c r="W16" s="225">
        <f>SUM(W14:W15)</f>
        <v>13416.936000000002</v>
      </c>
    </row>
    <row r="17" spans="24:24" thickBot="1" x14ac:dyDescent="0.35"/>
    <row r="18" spans="24:24" ht="14.45" x14ac:dyDescent="0.3">
      <c r="X18" s="231"/>
    </row>
    <row r="19" spans="24:24" thickBot="1" x14ac:dyDescent="0.35">
      <c r="X19" s="226"/>
    </row>
    <row r="69" ht="15" customHeight="1" x14ac:dyDescent="0.25"/>
    <row r="70" ht="15" customHeight="1" x14ac:dyDescent="0.25"/>
    <row r="71" ht="15" customHeight="1" x14ac:dyDescent="0.25"/>
    <row r="98" ht="15" customHeight="1" x14ac:dyDescent="0.25"/>
    <row r="99" ht="15" customHeight="1" x14ac:dyDescent="0.25"/>
    <row r="100" ht="15" customHeight="1" x14ac:dyDescent="0.25"/>
  </sheetData>
  <mergeCells count="5">
    <mergeCell ref="E6:E7"/>
    <mergeCell ref="G6:G7"/>
    <mergeCell ref="I6:I7"/>
    <mergeCell ref="K6:K7"/>
    <mergeCell ref="M6:M7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Y100"/>
  <sheetViews>
    <sheetView topLeftCell="K1" zoomScale="90" zoomScaleNormal="90" workbookViewId="0">
      <selection activeCell="Z15" sqref="Z15"/>
    </sheetView>
  </sheetViews>
  <sheetFormatPr baseColWidth="10" defaultRowHeight="15" x14ac:dyDescent="0.25"/>
  <cols>
    <col min="1" max="1" width="28.28515625" customWidth="1"/>
    <col min="2" max="2" width="6.7109375" bestFit="1" customWidth="1"/>
    <col min="3" max="3" width="36.42578125" bestFit="1" customWidth="1"/>
    <col min="4" max="5" width="12.42578125" bestFit="1" customWidth="1"/>
    <col min="6" max="6" width="14.7109375" bestFit="1" customWidth="1"/>
    <col min="7" max="7" width="13.28515625" bestFit="1" customWidth="1"/>
    <col min="8" max="8" width="16" bestFit="1" customWidth="1"/>
    <col min="9" max="9" width="13.28515625" bestFit="1" customWidth="1"/>
    <col min="10" max="10" width="22.7109375" bestFit="1" customWidth="1"/>
    <col min="11" max="11" width="13.28515625" bestFit="1" customWidth="1"/>
    <col min="12" max="12" width="14.7109375" bestFit="1" customWidth="1"/>
    <col min="13" max="23" width="13.28515625" bestFit="1" customWidth="1"/>
    <col min="25" max="25" width="12" bestFit="1" customWidth="1"/>
  </cols>
  <sheetData>
    <row r="3" spans="2:24" thickBot="1" x14ac:dyDescent="0.35"/>
    <row r="4" spans="2:24" ht="42" thickBot="1" x14ac:dyDescent="0.35">
      <c r="B4" s="89"/>
      <c r="C4" s="89" t="s">
        <v>203</v>
      </c>
      <c r="D4" s="89" t="s">
        <v>123</v>
      </c>
      <c r="E4" s="89">
        <v>2021</v>
      </c>
      <c r="F4" s="89" t="s">
        <v>79</v>
      </c>
      <c r="G4" s="89">
        <v>2022</v>
      </c>
      <c r="H4" s="89" t="s">
        <v>79</v>
      </c>
      <c r="I4" s="89">
        <v>2023</v>
      </c>
      <c r="J4" s="89" t="s">
        <v>79</v>
      </c>
      <c r="K4" s="89">
        <v>2025</v>
      </c>
      <c r="L4" s="89" t="s">
        <v>79</v>
      </c>
      <c r="M4" s="89" t="s">
        <v>124</v>
      </c>
      <c r="N4" s="89" t="s">
        <v>77</v>
      </c>
    </row>
    <row r="5" spans="2:24" ht="31.5" thickTop="1" thickBot="1" x14ac:dyDescent="0.3">
      <c r="B5" s="56" t="s">
        <v>204</v>
      </c>
      <c r="C5" s="109" t="s">
        <v>205</v>
      </c>
      <c r="D5" s="110">
        <f>'TABLA GENERAL FASE 1 Y 2'!H249</f>
        <v>90850</v>
      </c>
      <c r="E5" s="108">
        <f>'TABLA GENERAL FASE 1 Y 2'!J249</f>
        <v>0</v>
      </c>
      <c r="F5" s="60">
        <f>E5*D5</f>
        <v>0</v>
      </c>
      <c r="G5" s="108">
        <f>'TABLA GENERAL FASE 1 Y 2'!L249</f>
        <v>0</v>
      </c>
      <c r="H5" s="60">
        <f>G5*D5</f>
        <v>0</v>
      </c>
      <c r="I5" s="108">
        <f>'TABLA GENERAL FASE 1 Y 2'!N249</f>
        <v>0</v>
      </c>
      <c r="J5" s="60">
        <f>I5*D5</f>
        <v>0</v>
      </c>
      <c r="K5" s="108">
        <f>'TABLA GENERAL FASE 1 Y 2'!P249</f>
        <v>1</v>
      </c>
      <c r="L5" s="60">
        <f>K5*D5</f>
        <v>90850</v>
      </c>
      <c r="M5" s="18">
        <f t="shared" ref="M5:N5" si="0">K5+I5+G5+E5</f>
        <v>1</v>
      </c>
      <c r="N5" s="18">
        <f t="shared" si="0"/>
        <v>90850</v>
      </c>
      <c r="O5" s="18"/>
      <c r="P5" s="18"/>
    </row>
    <row r="6" spans="2:24" ht="25.5" thickBot="1" x14ac:dyDescent="0.3">
      <c r="B6" s="62" t="s">
        <v>63</v>
      </c>
      <c r="C6" s="63" t="s">
        <v>62</v>
      </c>
      <c r="D6" s="15">
        <v>1.6E-2</v>
      </c>
      <c r="E6" s="681"/>
      <c r="F6" s="97">
        <f>$D$6*$D$5*E5</f>
        <v>0</v>
      </c>
      <c r="G6" s="681"/>
      <c r="H6" s="97">
        <f>$D$6*$D$5*G5</f>
        <v>0</v>
      </c>
      <c r="I6" s="681"/>
      <c r="J6" s="97">
        <f>$D$6*$D$5*I5</f>
        <v>0</v>
      </c>
      <c r="K6" s="681"/>
      <c r="L6" s="97">
        <f>$D$6*$D$5*K5</f>
        <v>1453.6000000000001</v>
      </c>
      <c r="M6" s="688"/>
      <c r="N6" s="77"/>
    </row>
    <row r="7" spans="2:24" ht="15.75" thickBot="1" x14ac:dyDescent="0.3">
      <c r="B7" s="62" t="s">
        <v>61</v>
      </c>
      <c r="C7" s="16" t="s">
        <v>60</v>
      </c>
      <c r="D7" s="15">
        <v>1.2E-2</v>
      </c>
      <c r="E7" s="682"/>
      <c r="F7" s="97">
        <f>$D$7*$D$5*E5</f>
        <v>0</v>
      </c>
      <c r="G7" s="682"/>
      <c r="H7" s="97">
        <f>$D$7*$D$5*G5</f>
        <v>0</v>
      </c>
      <c r="I7" s="682"/>
      <c r="J7" s="97">
        <f>$D$7*$D$5*I5</f>
        <v>0</v>
      </c>
      <c r="K7" s="682"/>
      <c r="L7" s="97">
        <f>$D$7*$D$5*K5</f>
        <v>1090.2</v>
      </c>
      <c r="M7" s="689"/>
      <c r="N7" s="77"/>
    </row>
    <row r="8" spans="2:24" ht="15.75" thickBot="1" x14ac:dyDescent="0.3">
      <c r="B8" s="67" t="s">
        <v>67</v>
      </c>
      <c r="C8" s="16" t="s">
        <v>189</v>
      </c>
      <c r="D8" s="15">
        <f>0.05</f>
        <v>0.05</v>
      </c>
      <c r="E8" s="65"/>
      <c r="F8" s="97">
        <f>D5*E5*D8</f>
        <v>0</v>
      </c>
      <c r="G8" s="65"/>
      <c r="H8" s="97">
        <f>$D$8*$D$5*G5</f>
        <v>0</v>
      </c>
      <c r="I8" s="65"/>
      <c r="J8" s="97">
        <f>$D$8*$D$5*I5</f>
        <v>0</v>
      </c>
      <c r="K8" s="65"/>
      <c r="L8" s="97">
        <f>$D$8*$D$5*K5</f>
        <v>4542.5</v>
      </c>
      <c r="M8" s="80"/>
      <c r="N8" s="77"/>
    </row>
    <row r="9" spans="2:24" thickBot="1" x14ac:dyDescent="0.35">
      <c r="D9" s="28">
        <v>2021</v>
      </c>
      <c r="E9">
        <v>1</v>
      </c>
      <c r="F9" s="103">
        <f>F6+F7</f>
        <v>0</v>
      </c>
      <c r="G9">
        <v>2022</v>
      </c>
      <c r="H9" s="103">
        <f>H6+H7</f>
        <v>0</v>
      </c>
      <c r="I9">
        <v>2023</v>
      </c>
      <c r="J9" s="103">
        <f>J6+J7</f>
        <v>0</v>
      </c>
      <c r="K9">
        <v>2025</v>
      </c>
      <c r="L9" s="103">
        <f>L6+L7</f>
        <v>2543.8000000000002</v>
      </c>
    </row>
    <row r="10" spans="2:24" ht="14.45" x14ac:dyDescent="0.3">
      <c r="D10" s="35"/>
      <c r="E10">
        <v>2</v>
      </c>
      <c r="F10" s="97">
        <f>F8</f>
        <v>0</v>
      </c>
      <c r="H10" s="97">
        <f>H8</f>
        <v>0</v>
      </c>
      <c r="J10" s="97">
        <f>J8</f>
        <v>0</v>
      </c>
      <c r="L10" s="97">
        <f>L8</f>
        <v>4542.5</v>
      </c>
    </row>
    <row r="12" spans="2:24" ht="14.45" x14ac:dyDescent="0.3">
      <c r="D12" s="221">
        <v>2021</v>
      </c>
      <c r="E12" s="221">
        <v>2022</v>
      </c>
      <c r="F12" s="221">
        <v>2023</v>
      </c>
      <c r="G12" s="221">
        <v>2024</v>
      </c>
      <c r="H12" s="221">
        <v>2025</v>
      </c>
      <c r="I12" s="221">
        <v>2026</v>
      </c>
      <c r="J12" s="221">
        <v>2027</v>
      </c>
      <c r="K12" s="221">
        <v>2028</v>
      </c>
      <c r="L12" s="221">
        <v>2029</v>
      </c>
      <c r="M12" s="221">
        <v>2030</v>
      </c>
      <c r="N12" s="221">
        <v>2031</v>
      </c>
      <c r="O12" s="221">
        <v>2032</v>
      </c>
      <c r="P12" s="221">
        <v>2033</v>
      </c>
      <c r="Q12" s="221">
        <v>2034</v>
      </c>
      <c r="R12" s="221">
        <v>2035</v>
      </c>
      <c r="S12" s="221">
        <v>2036</v>
      </c>
      <c r="T12" s="221">
        <v>2037</v>
      </c>
      <c r="U12" s="221">
        <v>2038</v>
      </c>
      <c r="V12" s="221">
        <v>2039</v>
      </c>
      <c r="W12" s="221">
        <v>2040</v>
      </c>
      <c r="X12" s="221">
        <v>2041</v>
      </c>
    </row>
    <row r="13" spans="2:24" x14ac:dyDescent="0.25">
      <c r="D13" s="221" t="s">
        <v>59</v>
      </c>
      <c r="E13" s="221" t="s">
        <v>40</v>
      </c>
      <c r="F13" s="221" t="s">
        <v>39</v>
      </c>
      <c r="G13" s="221" t="s">
        <v>38</v>
      </c>
      <c r="H13" s="221" t="s">
        <v>58</v>
      </c>
      <c r="I13" s="221" t="s">
        <v>36</v>
      </c>
      <c r="J13" s="221" t="s">
        <v>35</v>
      </c>
      <c r="K13" s="221" t="s">
        <v>34</v>
      </c>
      <c r="L13" s="221" t="s">
        <v>33</v>
      </c>
      <c r="M13" s="221" t="s">
        <v>32</v>
      </c>
      <c r="N13" s="221" t="s">
        <v>31</v>
      </c>
      <c r="O13" s="221" t="s">
        <v>30</v>
      </c>
      <c r="P13" s="221" t="s">
        <v>57</v>
      </c>
      <c r="Q13" s="221" t="s">
        <v>56</v>
      </c>
      <c r="R13" s="221" t="s">
        <v>27</v>
      </c>
      <c r="S13" s="221" t="s">
        <v>55</v>
      </c>
      <c r="T13" s="221" t="s">
        <v>54</v>
      </c>
      <c r="U13" s="221" t="s">
        <v>24</v>
      </c>
      <c r="V13" s="221" t="s">
        <v>23</v>
      </c>
      <c r="W13" s="221" t="s">
        <v>53</v>
      </c>
      <c r="X13" s="221" t="s">
        <v>21</v>
      </c>
    </row>
    <row r="14" spans="2:24" ht="15" customHeight="1" x14ac:dyDescent="0.3">
      <c r="C14" s="5" t="s">
        <v>134</v>
      </c>
      <c r="D14" s="3"/>
      <c r="E14" s="3"/>
      <c r="F14" s="3"/>
      <c r="G14" s="3"/>
      <c r="H14" s="3"/>
      <c r="I14" s="3">
        <f>$L$9</f>
        <v>2543.8000000000002</v>
      </c>
      <c r="J14" s="3">
        <f t="shared" ref="J14:X14" si="1">$L$9</f>
        <v>2543.8000000000002</v>
      </c>
      <c r="K14" s="3">
        <f t="shared" si="1"/>
        <v>2543.8000000000002</v>
      </c>
      <c r="L14" s="3">
        <f t="shared" si="1"/>
        <v>2543.8000000000002</v>
      </c>
      <c r="M14" s="3">
        <f t="shared" si="1"/>
        <v>2543.8000000000002</v>
      </c>
      <c r="N14" s="3">
        <f t="shared" si="1"/>
        <v>2543.8000000000002</v>
      </c>
      <c r="O14" s="3">
        <f t="shared" si="1"/>
        <v>2543.8000000000002</v>
      </c>
      <c r="P14" s="3">
        <f t="shared" si="1"/>
        <v>2543.8000000000002</v>
      </c>
      <c r="Q14" s="3">
        <f t="shared" si="1"/>
        <v>2543.8000000000002</v>
      </c>
      <c r="R14" s="3">
        <f t="shared" si="1"/>
        <v>2543.8000000000002</v>
      </c>
      <c r="S14" s="3">
        <f t="shared" si="1"/>
        <v>2543.8000000000002</v>
      </c>
      <c r="T14" s="3">
        <f t="shared" si="1"/>
        <v>2543.8000000000002</v>
      </c>
      <c r="U14" s="3">
        <f t="shared" si="1"/>
        <v>2543.8000000000002</v>
      </c>
      <c r="V14" s="3">
        <f t="shared" si="1"/>
        <v>2543.8000000000002</v>
      </c>
      <c r="W14" s="3">
        <f t="shared" si="1"/>
        <v>2543.8000000000002</v>
      </c>
      <c r="X14" s="3">
        <f t="shared" si="1"/>
        <v>2543.8000000000002</v>
      </c>
    </row>
    <row r="15" spans="2:24" ht="15" customHeight="1" x14ac:dyDescent="0.25">
      <c r="C15" s="90" t="s">
        <v>189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>
        <f>$L$10</f>
        <v>4542.5</v>
      </c>
      <c r="O15" s="3"/>
      <c r="P15" s="3"/>
      <c r="Q15" s="3"/>
      <c r="R15" s="3"/>
      <c r="S15" s="3">
        <f>$L$10</f>
        <v>4542.5</v>
      </c>
      <c r="T15" s="3"/>
      <c r="U15" s="3"/>
      <c r="V15" s="3"/>
      <c r="W15" s="3"/>
      <c r="X15" s="225">
        <f>$L$10</f>
        <v>4542.5</v>
      </c>
    </row>
    <row r="16" spans="2:24" ht="15" customHeight="1" thickBot="1" x14ac:dyDescent="0.35">
      <c r="C16" s="5" t="s">
        <v>46</v>
      </c>
      <c r="D16" s="3">
        <f>SUM(D14:D15)</f>
        <v>0</v>
      </c>
      <c r="E16" s="3">
        <f>SUM(E14:E15)</f>
        <v>0</v>
      </c>
      <c r="F16" s="3">
        <f t="shared" ref="F16:V16" si="2">SUM(F14:F15)</f>
        <v>0</v>
      </c>
      <c r="G16" s="3">
        <f t="shared" si="2"/>
        <v>0</v>
      </c>
      <c r="H16" s="3">
        <f t="shared" si="2"/>
        <v>0</v>
      </c>
      <c r="I16" s="3">
        <f t="shared" si="2"/>
        <v>2543.8000000000002</v>
      </c>
      <c r="J16" s="3">
        <f t="shared" si="2"/>
        <v>2543.8000000000002</v>
      </c>
      <c r="K16" s="3">
        <f t="shared" si="2"/>
        <v>2543.8000000000002</v>
      </c>
      <c r="L16" s="3">
        <f t="shared" si="2"/>
        <v>2543.8000000000002</v>
      </c>
      <c r="M16" s="3">
        <f t="shared" si="2"/>
        <v>2543.8000000000002</v>
      </c>
      <c r="N16" s="3">
        <f t="shared" si="2"/>
        <v>7086.3</v>
      </c>
      <c r="O16" s="3">
        <f t="shared" si="2"/>
        <v>2543.8000000000002</v>
      </c>
      <c r="P16" s="3">
        <f t="shared" si="2"/>
        <v>2543.8000000000002</v>
      </c>
      <c r="Q16" s="3">
        <f t="shared" si="2"/>
        <v>2543.8000000000002</v>
      </c>
      <c r="R16" s="3">
        <f t="shared" si="2"/>
        <v>2543.8000000000002</v>
      </c>
      <c r="S16" s="3">
        <f t="shared" si="2"/>
        <v>7086.3</v>
      </c>
      <c r="T16" s="3">
        <f t="shared" si="2"/>
        <v>2543.8000000000002</v>
      </c>
      <c r="U16" s="3">
        <f t="shared" si="2"/>
        <v>2543.8000000000002</v>
      </c>
      <c r="V16" s="3">
        <f t="shared" si="2"/>
        <v>2543.8000000000002</v>
      </c>
      <c r="W16" s="3">
        <f>SUM(W14:W15)</f>
        <v>2543.8000000000002</v>
      </c>
      <c r="X16" s="225">
        <f>SUM(X14:X15)</f>
        <v>7086.3</v>
      </c>
    </row>
    <row r="17" spans="25:25" ht="14.45" x14ac:dyDescent="0.3">
      <c r="Y17" s="231"/>
    </row>
    <row r="18" spans="25:25" thickBot="1" x14ac:dyDescent="0.35">
      <c r="Y18" s="226"/>
    </row>
    <row r="69" ht="15" customHeight="1" x14ac:dyDescent="0.25"/>
    <row r="70" ht="15" customHeight="1" x14ac:dyDescent="0.25"/>
    <row r="71" ht="15" customHeight="1" x14ac:dyDescent="0.25"/>
    <row r="98" ht="15" customHeight="1" x14ac:dyDescent="0.25"/>
    <row r="99" ht="15" customHeight="1" x14ac:dyDescent="0.25"/>
    <row r="100" ht="15" customHeight="1" x14ac:dyDescent="0.25"/>
  </sheetData>
  <mergeCells count="5">
    <mergeCell ref="E6:E7"/>
    <mergeCell ref="G6:G7"/>
    <mergeCell ref="I6:I7"/>
    <mergeCell ref="K6:K7"/>
    <mergeCell ref="M6:M7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Y106"/>
  <sheetViews>
    <sheetView topLeftCell="K10" zoomScale="90" zoomScaleNormal="90" workbookViewId="0">
      <selection activeCell="Y23" sqref="Y23"/>
    </sheetView>
  </sheetViews>
  <sheetFormatPr baseColWidth="10" defaultRowHeight="15" x14ac:dyDescent="0.25"/>
  <cols>
    <col min="1" max="1" width="28.28515625" customWidth="1"/>
    <col min="2" max="2" width="6.7109375" bestFit="1" customWidth="1"/>
    <col min="3" max="3" width="36.42578125" bestFit="1" customWidth="1"/>
    <col min="4" max="5" width="12.42578125" bestFit="1" customWidth="1"/>
    <col min="6" max="6" width="14.7109375" bestFit="1" customWidth="1"/>
    <col min="7" max="7" width="13.28515625" bestFit="1" customWidth="1"/>
    <col min="8" max="8" width="16" bestFit="1" customWidth="1"/>
    <col min="9" max="9" width="13.28515625" bestFit="1" customWidth="1"/>
    <col min="10" max="10" width="22.7109375" bestFit="1" customWidth="1"/>
    <col min="11" max="11" width="13.28515625" bestFit="1" customWidth="1"/>
    <col min="12" max="12" width="14.7109375" bestFit="1" customWidth="1"/>
    <col min="13" max="23" width="13.28515625" bestFit="1" customWidth="1"/>
    <col min="24" max="24" width="12" bestFit="1" customWidth="1"/>
    <col min="25" max="25" width="13.28515625" bestFit="1" customWidth="1"/>
  </cols>
  <sheetData>
    <row r="3" spans="2:14" thickBot="1" x14ac:dyDescent="0.35"/>
    <row r="4" spans="2:14" ht="50.25" thickBot="1" x14ac:dyDescent="0.3">
      <c r="B4" s="89"/>
      <c r="C4" s="89" t="s">
        <v>206</v>
      </c>
      <c r="D4" s="89" t="s">
        <v>123</v>
      </c>
      <c r="E4" s="89">
        <v>2021</v>
      </c>
      <c r="F4" s="89" t="s">
        <v>79</v>
      </c>
      <c r="G4" s="89">
        <v>2022</v>
      </c>
      <c r="H4" s="89" t="s">
        <v>79</v>
      </c>
      <c r="I4" s="89">
        <v>2023</v>
      </c>
      <c r="J4" s="89" t="s">
        <v>79</v>
      </c>
      <c r="K4" s="89">
        <v>2025</v>
      </c>
      <c r="L4" s="89" t="s">
        <v>79</v>
      </c>
      <c r="M4" s="89" t="s">
        <v>124</v>
      </c>
      <c r="N4" s="89" t="s">
        <v>77</v>
      </c>
    </row>
    <row r="5" spans="2:14" ht="46.5" thickTop="1" thickBot="1" x14ac:dyDescent="0.3">
      <c r="B5" s="56" t="s">
        <v>207</v>
      </c>
      <c r="C5" s="48" t="s">
        <v>208</v>
      </c>
      <c r="D5" s="72">
        <f>'TABLA GENERAL FASE 1 Y 2'!H254</f>
        <v>570</v>
      </c>
      <c r="E5" s="108">
        <f>'TABLA GENERAL FASE 1 Y 2'!J254</f>
        <v>0</v>
      </c>
      <c r="F5" s="60">
        <f>E5*D5</f>
        <v>0</v>
      </c>
      <c r="G5" s="108">
        <f>'TABLA GENERAL FASE 1 Y 2'!L254</f>
        <v>0</v>
      </c>
      <c r="H5" s="60">
        <f>G5*D5</f>
        <v>0</v>
      </c>
      <c r="I5" s="108">
        <f>'TABLA GENERAL FASE 1 Y 2'!N254</f>
        <v>0</v>
      </c>
      <c r="J5" s="60">
        <f>I5*D5</f>
        <v>0</v>
      </c>
      <c r="K5" s="47">
        <f>'TABLA GENERAL FASE 1 Y 2'!P254</f>
        <v>6</v>
      </c>
      <c r="L5" s="60">
        <f>K5*D5</f>
        <v>3420</v>
      </c>
      <c r="M5" s="18">
        <f t="shared" ref="M5:N5" si="0">K5+I5+G5+E5</f>
        <v>6</v>
      </c>
      <c r="N5" s="18">
        <f t="shared" si="0"/>
        <v>3420</v>
      </c>
    </row>
    <row r="6" spans="2:14" ht="26.25" thickTop="1" thickBot="1" x14ac:dyDescent="0.3">
      <c r="B6" s="62" t="s">
        <v>63</v>
      </c>
      <c r="C6" s="63" t="s">
        <v>62</v>
      </c>
      <c r="D6" s="15">
        <v>1.6E-2</v>
      </c>
      <c r="E6" s="681"/>
      <c r="F6" s="97">
        <f>$D$6*$D$5*E5</f>
        <v>0</v>
      </c>
      <c r="G6" s="681"/>
      <c r="H6" s="97">
        <f>$D$6*$D$5*G5</f>
        <v>0</v>
      </c>
      <c r="I6" s="681"/>
      <c r="J6" s="97">
        <f>$D$6*$D$5*I5</f>
        <v>0</v>
      </c>
      <c r="K6" s="681"/>
      <c r="L6" s="97">
        <f>$D$6*$D$5*K5</f>
        <v>54.720000000000006</v>
      </c>
      <c r="M6" s="688"/>
      <c r="N6" s="77"/>
    </row>
    <row r="7" spans="2:14" ht="15.75" thickBot="1" x14ac:dyDescent="0.3">
      <c r="B7" s="62" t="s">
        <v>61</v>
      </c>
      <c r="C7" s="16" t="s">
        <v>60</v>
      </c>
      <c r="D7" s="15">
        <v>1.2E-2</v>
      </c>
      <c r="E7" s="682"/>
      <c r="F7" s="97">
        <f>$D$7*$D$5*E5</f>
        <v>0</v>
      </c>
      <c r="G7" s="682"/>
      <c r="H7" s="97">
        <f>$D$7*$D$5*G5</f>
        <v>0</v>
      </c>
      <c r="I7" s="682"/>
      <c r="J7" s="97">
        <f>$D$7*$D$5*I5</f>
        <v>0</v>
      </c>
      <c r="K7" s="682"/>
      <c r="L7" s="97">
        <f>$D$7*$D$5*K5</f>
        <v>41.04</v>
      </c>
      <c r="M7" s="689"/>
      <c r="N7" s="77"/>
    </row>
    <row r="8" spans="2:14" ht="15.75" thickBot="1" x14ac:dyDescent="0.3">
      <c r="B8" s="67" t="s">
        <v>67</v>
      </c>
      <c r="C8" s="16" t="s">
        <v>189</v>
      </c>
      <c r="D8" s="15">
        <f>0.05</f>
        <v>0.05</v>
      </c>
      <c r="E8" s="65"/>
      <c r="F8" s="97">
        <f>D5*E5*D8</f>
        <v>0</v>
      </c>
      <c r="G8" s="65"/>
      <c r="H8" s="97">
        <f>$D$8*$D$5*G5</f>
        <v>0</v>
      </c>
      <c r="I8" s="65"/>
      <c r="J8" s="97">
        <f>$D$8*$D$5*I5</f>
        <v>0</v>
      </c>
      <c r="K8" s="65"/>
      <c r="L8" s="97">
        <f>$D$8*$D$5*K5</f>
        <v>171</v>
      </c>
      <c r="M8" s="80"/>
      <c r="N8" s="77"/>
    </row>
    <row r="9" spans="2:14" ht="31.5" thickTop="1" thickBot="1" x14ac:dyDescent="0.3">
      <c r="B9" s="56" t="s">
        <v>209</v>
      </c>
      <c r="C9" s="32" t="s">
        <v>210</v>
      </c>
      <c r="D9" s="59">
        <f>'TABLA GENERAL FASE 1 Y 2'!H255</f>
        <v>3967.46</v>
      </c>
      <c r="E9" s="108">
        <f>'TABLA GENERAL FASE 1 Y 2'!J255</f>
        <v>0</v>
      </c>
      <c r="F9" s="60">
        <f>E9*D9</f>
        <v>0</v>
      </c>
      <c r="G9" s="108">
        <f>'TABLA GENERAL FASE 1 Y 2'!L255</f>
        <v>0</v>
      </c>
      <c r="H9" s="60">
        <f>G9*D9</f>
        <v>0</v>
      </c>
      <c r="I9" s="108">
        <f>'TABLA GENERAL FASE 1 Y 2'!N255</f>
        <v>0</v>
      </c>
      <c r="J9" s="60">
        <f>I9*D9</f>
        <v>0</v>
      </c>
      <c r="K9" s="15">
        <f>'TABLA GENERAL FASE 1 Y 2'!P255</f>
        <v>4</v>
      </c>
      <c r="L9" s="60">
        <f>K9*D9</f>
        <v>15869.84</v>
      </c>
      <c r="M9" s="18">
        <f t="shared" ref="M9:N9" si="1">K9+I9+G9+E9</f>
        <v>4</v>
      </c>
      <c r="N9" s="18">
        <f t="shared" si="1"/>
        <v>15869.84</v>
      </c>
    </row>
    <row r="10" spans="2:14" ht="26.25" thickTop="1" thickBot="1" x14ac:dyDescent="0.3">
      <c r="B10" s="62" t="s">
        <v>63</v>
      </c>
      <c r="C10" s="63" t="s">
        <v>62</v>
      </c>
      <c r="D10" s="15">
        <v>0.02</v>
      </c>
      <c r="E10" s="681"/>
      <c r="F10" s="97">
        <f>$D$6*$D$5*E9</f>
        <v>0</v>
      </c>
      <c r="G10" s="681"/>
      <c r="H10" s="97">
        <f>$D$6*$D$5*G9</f>
        <v>0</v>
      </c>
      <c r="I10" s="681"/>
      <c r="J10" s="97">
        <f>$D$6*$D$5*I9</f>
        <v>0</v>
      </c>
      <c r="K10" s="681"/>
      <c r="L10" s="97">
        <f>$D$10*$D$9*K9</f>
        <v>317.39679999999998</v>
      </c>
      <c r="M10" s="688"/>
      <c r="N10" s="77"/>
    </row>
    <row r="11" spans="2:14" ht="15.75" thickBot="1" x14ac:dyDescent="0.3">
      <c r="B11" s="62" t="s">
        <v>61</v>
      </c>
      <c r="C11" s="16" t="s">
        <v>60</v>
      </c>
      <c r="D11" s="15">
        <v>1.2E-2</v>
      </c>
      <c r="E11" s="682"/>
      <c r="F11" s="97">
        <f>$D$7*$D$5*E9</f>
        <v>0</v>
      </c>
      <c r="G11" s="682"/>
      <c r="H11" s="97">
        <f>$D$7*$D$5*G9</f>
        <v>0</v>
      </c>
      <c r="I11" s="682"/>
      <c r="J11" s="97">
        <f>$D$7*$D$5*I9</f>
        <v>0</v>
      </c>
      <c r="K11" s="682"/>
      <c r="L11" s="97">
        <f>$D$11*$D$9*K9</f>
        <v>190.43808000000001</v>
      </c>
      <c r="M11" s="689"/>
      <c r="N11" s="77"/>
    </row>
    <row r="12" spans="2:14" ht="15.75" thickBot="1" x14ac:dyDescent="0.3">
      <c r="B12" s="67" t="s">
        <v>67</v>
      </c>
      <c r="C12" s="16" t="s">
        <v>189</v>
      </c>
      <c r="D12" s="15">
        <f>0.05</f>
        <v>0.05</v>
      </c>
      <c r="E12" s="65"/>
      <c r="F12" s="97">
        <f>D9*E9*D12</f>
        <v>0</v>
      </c>
      <c r="G12" s="65"/>
      <c r="H12" s="97">
        <f>$D$8*$D$5*G9</f>
        <v>0</v>
      </c>
      <c r="I12" s="65"/>
      <c r="J12" s="97">
        <f>$D$8*$D$5*I9</f>
        <v>0</v>
      </c>
      <c r="K12" s="65"/>
      <c r="L12" s="97">
        <f>$D$12*$D$9*K9</f>
        <v>793.49200000000008</v>
      </c>
      <c r="M12" s="80"/>
      <c r="N12" s="77"/>
    </row>
    <row r="13" spans="2:14" ht="31.5" thickTop="1" thickBot="1" x14ac:dyDescent="0.3">
      <c r="B13" s="56" t="s">
        <v>211</v>
      </c>
      <c r="C13" s="57" t="s">
        <v>212</v>
      </c>
      <c r="D13" s="71">
        <f>'TABLA GENERAL FASE 1 Y 2'!H257</f>
        <v>42800</v>
      </c>
      <c r="E13" s="108">
        <f>'TABLA GENERAL FASE 1 Y 2'!J257</f>
        <v>0</v>
      </c>
      <c r="F13" s="60">
        <f>E13*D13</f>
        <v>0</v>
      </c>
      <c r="G13" s="108">
        <f>'TABLA GENERAL FASE 1 Y 2'!L257</f>
        <v>0</v>
      </c>
      <c r="H13" s="60">
        <f>G13*D13</f>
        <v>0</v>
      </c>
      <c r="I13" s="108">
        <f>'TABLA GENERAL FASE 1 Y 2'!N257</f>
        <v>0</v>
      </c>
      <c r="J13" s="60">
        <f t="shared" ref="J13" si="2">I13*E13</f>
        <v>0</v>
      </c>
      <c r="K13" s="51">
        <f>'TABLA GENERAL FASE 1 Y 2'!P257</f>
        <v>4</v>
      </c>
      <c r="L13" s="60">
        <f>K13*D13</f>
        <v>171200</v>
      </c>
      <c r="M13" s="18">
        <f t="shared" ref="M13:N13" si="3">K13+I13+G13+E13</f>
        <v>4</v>
      </c>
      <c r="N13" s="18">
        <f t="shared" si="3"/>
        <v>171200</v>
      </c>
    </row>
    <row r="14" spans="2:14" ht="25.5" thickBot="1" x14ac:dyDescent="0.3">
      <c r="B14" s="62" t="s">
        <v>63</v>
      </c>
      <c r="C14" s="63" t="s">
        <v>62</v>
      </c>
      <c r="D14" s="15">
        <v>0.01</v>
      </c>
      <c r="E14" s="681"/>
      <c r="F14" s="97">
        <f>$D$6*$D$5*E13</f>
        <v>0</v>
      </c>
      <c r="G14" s="681"/>
      <c r="H14" s="97">
        <f>$D$6*$D$5*G13</f>
        <v>0</v>
      </c>
      <c r="I14" s="681"/>
      <c r="J14" s="97">
        <f>$D$6*$D$5*I13</f>
        <v>0</v>
      </c>
      <c r="K14" s="681"/>
      <c r="L14" s="97">
        <f>$D$14*$D$13*K13</f>
        <v>1712</v>
      </c>
      <c r="M14" s="688"/>
      <c r="N14" s="77"/>
    </row>
    <row r="15" spans="2:14" ht="15.75" thickBot="1" x14ac:dyDescent="0.3">
      <c r="B15" s="62" t="s">
        <v>61</v>
      </c>
      <c r="C15" s="16" t="s">
        <v>60</v>
      </c>
      <c r="D15" s="15">
        <v>1.0999999999999999E-2</v>
      </c>
      <c r="E15" s="682"/>
      <c r="F15" s="97">
        <f>$D$7*$D$5*E13</f>
        <v>0</v>
      </c>
      <c r="G15" s="682"/>
      <c r="H15" s="97">
        <f>$D$7*$D$5*G13</f>
        <v>0</v>
      </c>
      <c r="I15" s="682"/>
      <c r="J15" s="97">
        <f>$D$7*$D$5*I13</f>
        <v>0</v>
      </c>
      <c r="K15" s="682"/>
      <c r="L15" s="97">
        <f>$D$15*$D$13*K13</f>
        <v>1883.1999999999998</v>
      </c>
      <c r="M15" s="689"/>
      <c r="N15" s="77"/>
    </row>
    <row r="16" spans="2:14" ht="15.75" thickBot="1" x14ac:dyDescent="0.3">
      <c r="B16" s="67" t="s">
        <v>67</v>
      </c>
      <c r="C16" s="16" t="s">
        <v>189</v>
      </c>
      <c r="D16" s="15">
        <f>0.04</f>
        <v>0.04</v>
      </c>
      <c r="E16" s="65"/>
      <c r="F16" s="97">
        <f>D13*E13*D16</f>
        <v>0</v>
      </c>
      <c r="G16" s="65"/>
      <c r="H16" s="97">
        <f>$D$8*$D$5*G13</f>
        <v>0</v>
      </c>
      <c r="I16" s="65"/>
      <c r="J16" s="97">
        <f>$D$8*$D$5*I13</f>
        <v>0</v>
      </c>
      <c r="K16" s="65"/>
      <c r="L16" s="97">
        <f>$D$16*$D$13*K13</f>
        <v>6848</v>
      </c>
      <c r="M16" s="80"/>
      <c r="N16" s="77"/>
    </row>
    <row r="17" spans="3:25" thickBot="1" x14ac:dyDescent="0.35">
      <c r="D17" s="28">
        <v>2021</v>
      </c>
      <c r="E17">
        <v>1</v>
      </c>
      <c r="F17" s="103">
        <f>F6+F7</f>
        <v>0</v>
      </c>
      <c r="G17">
        <v>2022</v>
      </c>
      <c r="H17" s="103">
        <f>H6+H7</f>
        <v>0</v>
      </c>
      <c r="I17">
        <v>2023</v>
      </c>
      <c r="J17" s="103">
        <f>J6+J7</f>
        <v>0</v>
      </c>
      <c r="K17">
        <v>2025</v>
      </c>
      <c r="L17" s="103">
        <f>L15+L14+L11+L10+L7+L6</f>
        <v>4198.7948799999995</v>
      </c>
    </row>
    <row r="18" spans="3:25" ht="14.45" x14ac:dyDescent="0.3">
      <c r="D18" s="35"/>
      <c r="E18">
        <v>2</v>
      </c>
      <c r="F18" s="97">
        <f>F8</f>
        <v>0</v>
      </c>
      <c r="H18" s="97">
        <f>H8</f>
        <v>0</v>
      </c>
      <c r="J18" s="97">
        <f>J8</f>
        <v>0</v>
      </c>
      <c r="L18" s="97">
        <f>L8+L17+L12</f>
        <v>5163.2868799999997</v>
      </c>
    </row>
    <row r="20" spans="3:25" ht="15" customHeight="1" x14ac:dyDescent="0.3">
      <c r="D20" s="221">
        <v>2021</v>
      </c>
      <c r="E20" s="221">
        <v>2022</v>
      </c>
      <c r="F20" s="221">
        <v>2023</v>
      </c>
      <c r="G20" s="221">
        <v>2024</v>
      </c>
      <c r="H20" s="221">
        <v>2025</v>
      </c>
      <c r="I20" s="221">
        <v>2026</v>
      </c>
      <c r="J20" s="221">
        <v>2027</v>
      </c>
      <c r="K20" s="221">
        <v>2028</v>
      </c>
      <c r="L20" s="221">
        <v>2029</v>
      </c>
      <c r="M20" s="221">
        <v>2030</v>
      </c>
      <c r="N20" s="221">
        <v>2031</v>
      </c>
      <c r="O20" s="221">
        <v>2032</v>
      </c>
      <c r="P20" s="221">
        <v>2033</v>
      </c>
      <c r="Q20" s="221">
        <v>2034</v>
      </c>
      <c r="R20" s="221">
        <v>2035</v>
      </c>
      <c r="S20" s="221">
        <v>2036</v>
      </c>
      <c r="T20" s="221">
        <v>2037</v>
      </c>
      <c r="U20" s="221">
        <v>2038</v>
      </c>
      <c r="V20" s="221">
        <v>2039</v>
      </c>
      <c r="W20" s="221">
        <v>2040</v>
      </c>
      <c r="X20" s="221">
        <v>2041</v>
      </c>
    </row>
    <row r="21" spans="3:25" ht="15" customHeight="1" x14ac:dyDescent="0.25">
      <c r="D21" s="221" t="s">
        <v>59</v>
      </c>
      <c r="E21" s="221" t="s">
        <v>40</v>
      </c>
      <c r="F21" s="221" t="s">
        <v>39</v>
      </c>
      <c r="G21" s="221" t="s">
        <v>38</v>
      </c>
      <c r="H21" s="221" t="s">
        <v>58</v>
      </c>
      <c r="I21" s="221" t="s">
        <v>36</v>
      </c>
      <c r="J21" s="221" t="s">
        <v>35</v>
      </c>
      <c r="K21" s="221" t="s">
        <v>34</v>
      </c>
      <c r="L21" s="221" t="s">
        <v>33</v>
      </c>
      <c r="M21" s="221" t="s">
        <v>32</v>
      </c>
      <c r="N21" s="221" t="s">
        <v>31</v>
      </c>
      <c r="O21" s="221" t="s">
        <v>30</v>
      </c>
      <c r="P21" s="221" t="s">
        <v>57</v>
      </c>
      <c r="Q21" s="221" t="s">
        <v>56</v>
      </c>
      <c r="R21" s="221" t="s">
        <v>27</v>
      </c>
      <c r="S21" s="221" t="s">
        <v>55</v>
      </c>
      <c r="T21" s="221" t="s">
        <v>54</v>
      </c>
      <c r="U21" s="221" t="s">
        <v>24</v>
      </c>
      <c r="V21" s="221" t="s">
        <v>23</v>
      </c>
      <c r="W21" s="221" t="s">
        <v>53</v>
      </c>
      <c r="X21" s="221" t="s">
        <v>21</v>
      </c>
    </row>
    <row r="22" spans="3:25" ht="15" customHeight="1" x14ac:dyDescent="0.3">
      <c r="C22" s="5" t="s">
        <v>134</v>
      </c>
      <c r="D22" s="3"/>
      <c r="E22" s="3"/>
      <c r="F22" s="3"/>
      <c r="G22" s="3"/>
      <c r="H22" s="3"/>
      <c r="I22" s="3">
        <f>$L$17</f>
        <v>4198.7948799999995</v>
      </c>
      <c r="J22" s="3">
        <f t="shared" ref="J22:X22" si="4">$L$17</f>
        <v>4198.7948799999995</v>
      </c>
      <c r="K22" s="3">
        <f t="shared" si="4"/>
        <v>4198.7948799999995</v>
      </c>
      <c r="L22" s="3">
        <f t="shared" si="4"/>
        <v>4198.7948799999995</v>
      </c>
      <c r="M22" s="3">
        <f t="shared" si="4"/>
        <v>4198.7948799999995</v>
      </c>
      <c r="N22" s="3">
        <f t="shared" si="4"/>
        <v>4198.7948799999995</v>
      </c>
      <c r="O22" s="3">
        <f t="shared" si="4"/>
        <v>4198.7948799999995</v>
      </c>
      <c r="P22" s="3">
        <f t="shared" si="4"/>
        <v>4198.7948799999995</v>
      </c>
      <c r="Q22" s="3">
        <f t="shared" si="4"/>
        <v>4198.7948799999995</v>
      </c>
      <c r="R22" s="3">
        <f t="shared" si="4"/>
        <v>4198.7948799999995</v>
      </c>
      <c r="S22" s="3">
        <f t="shared" si="4"/>
        <v>4198.7948799999995</v>
      </c>
      <c r="T22" s="3">
        <f t="shared" si="4"/>
        <v>4198.7948799999995</v>
      </c>
      <c r="U22" s="3">
        <f t="shared" si="4"/>
        <v>4198.7948799999995</v>
      </c>
      <c r="V22" s="3">
        <f t="shared" si="4"/>
        <v>4198.7948799999995</v>
      </c>
      <c r="W22" s="3">
        <f t="shared" si="4"/>
        <v>4198.7948799999995</v>
      </c>
      <c r="X22" s="3">
        <f t="shared" si="4"/>
        <v>4198.7948799999995</v>
      </c>
    </row>
    <row r="23" spans="3:25" ht="30" x14ac:dyDescent="0.25">
      <c r="C23" s="90" t="s">
        <v>189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>
        <f>L18</f>
        <v>5163.2868799999997</v>
      </c>
      <c r="O23" s="3"/>
      <c r="P23" s="3"/>
      <c r="Q23" s="3"/>
      <c r="R23" s="3"/>
      <c r="S23" s="3">
        <f>L18</f>
        <v>5163.2868799999997</v>
      </c>
      <c r="T23" s="3"/>
      <c r="U23" s="3"/>
      <c r="V23" s="3"/>
      <c r="W23" s="3"/>
      <c r="X23" s="225">
        <f>L18</f>
        <v>5163.2868799999997</v>
      </c>
    </row>
    <row r="24" spans="3:25" thickBot="1" x14ac:dyDescent="0.35">
      <c r="C24" s="5" t="s">
        <v>46</v>
      </c>
      <c r="D24" s="3">
        <f>SUM(D22:D23)</f>
        <v>0</v>
      </c>
      <c r="E24" s="3">
        <f>SUM(E22:E23)</f>
        <v>0</v>
      </c>
      <c r="F24" s="3">
        <f t="shared" ref="F24:X24" si="5">SUM(F22:F23)</f>
        <v>0</v>
      </c>
      <c r="G24" s="3">
        <f t="shared" si="5"/>
        <v>0</v>
      </c>
      <c r="H24" s="3">
        <f t="shared" si="5"/>
        <v>0</v>
      </c>
      <c r="I24" s="3">
        <f t="shared" si="5"/>
        <v>4198.7948799999995</v>
      </c>
      <c r="J24" s="3">
        <f t="shared" si="5"/>
        <v>4198.7948799999995</v>
      </c>
      <c r="K24" s="3">
        <f t="shared" si="5"/>
        <v>4198.7948799999995</v>
      </c>
      <c r="L24" s="3">
        <f t="shared" si="5"/>
        <v>4198.7948799999995</v>
      </c>
      <c r="M24" s="3">
        <f t="shared" si="5"/>
        <v>4198.7948799999995</v>
      </c>
      <c r="N24" s="3">
        <f t="shared" si="5"/>
        <v>9362.0817599999991</v>
      </c>
      <c r="O24" s="3">
        <f t="shared" si="5"/>
        <v>4198.7948799999995</v>
      </c>
      <c r="P24" s="3">
        <f t="shared" si="5"/>
        <v>4198.7948799999995</v>
      </c>
      <c r="Q24" s="3">
        <f t="shared" si="5"/>
        <v>4198.7948799999995</v>
      </c>
      <c r="R24" s="3">
        <f t="shared" si="5"/>
        <v>4198.7948799999995</v>
      </c>
      <c r="S24" s="3">
        <f t="shared" si="5"/>
        <v>9362.0817599999991</v>
      </c>
      <c r="T24" s="3">
        <f t="shared" si="5"/>
        <v>4198.7948799999995</v>
      </c>
      <c r="U24" s="3">
        <f t="shared" si="5"/>
        <v>4198.7948799999995</v>
      </c>
      <c r="V24" s="3">
        <f t="shared" si="5"/>
        <v>4198.7948799999995</v>
      </c>
      <c r="W24" s="3">
        <f t="shared" si="5"/>
        <v>4198.7948799999995</v>
      </c>
      <c r="X24" s="225">
        <f t="shared" si="5"/>
        <v>9362.0817599999991</v>
      </c>
    </row>
    <row r="25" spans="3:25" ht="14.45" x14ac:dyDescent="0.3">
      <c r="Y25" s="240"/>
    </row>
    <row r="26" spans="3:25" thickBot="1" x14ac:dyDescent="0.35">
      <c r="Y26" s="241"/>
    </row>
    <row r="75" ht="15" customHeight="1" x14ac:dyDescent="0.25"/>
    <row r="76" ht="15" customHeight="1" x14ac:dyDescent="0.25"/>
    <row r="77" ht="15" customHeight="1" x14ac:dyDescent="0.25"/>
    <row r="104" ht="15" customHeight="1" x14ac:dyDescent="0.25"/>
    <row r="105" ht="15" customHeight="1" x14ac:dyDescent="0.25"/>
    <row r="106" ht="15" customHeight="1" x14ac:dyDescent="0.25"/>
  </sheetData>
  <mergeCells count="15">
    <mergeCell ref="E10:E11"/>
    <mergeCell ref="G10:G11"/>
    <mergeCell ref="I10:I11"/>
    <mergeCell ref="K10:K11"/>
    <mergeCell ref="M10:M11"/>
    <mergeCell ref="E6:E7"/>
    <mergeCell ref="G6:G7"/>
    <mergeCell ref="I6:I7"/>
    <mergeCell ref="K6:K7"/>
    <mergeCell ref="M6:M7"/>
    <mergeCell ref="E14:E15"/>
    <mergeCell ref="G14:G15"/>
    <mergeCell ref="I14:I15"/>
    <mergeCell ref="K14:K15"/>
    <mergeCell ref="M14:M15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D116"/>
  <sheetViews>
    <sheetView topLeftCell="E1" zoomScale="90" zoomScaleNormal="90" workbookViewId="0">
      <selection activeCell="AD35" sqref="AD35:AD36"/>
    </sheetView>
  </sheetViews>
  <sheetFormatPr baseColWidth="10" defaultRowHeight="15" x14ac:dyDescent="0.25"/>
  <cols>
    <col min="1" max="1" width="28.28515625" customWidth="1"/>
    <col min="2" max="2" width="6.7109375" bestFit="1" customWidth="1"/>
    <col min="3" max="3" width="36.42578125" bestFit="1" customWidth="1"/>
    <col min="4" max="5" width="12.42578125" bestFit="1" customWidth="1"/>
    <col min="6" max="6" width="14.7109375" bestFit="1" customWidth="1"/>
    <col min="7" max="7" width="13.28515625" bestFit="1" customWidth="1"/>
    <col min="8" max="8" width="16" bestFit="1" customWidth="1"/>
    <col min="9" max="9" width="13.28515625" bestFit="1" customWidth="1"/>
    <col min="10" max="10" width="22.7109375" bestFit="1" customWidth="1"/>
    <col min="11" max="11" width="13.28515625" bestFit="1" customWidth="1"/>
    <col min="12" max="12" width="21.5703125" bestFit="1" customWidth="1"/>
    <col min="13" max="23" width="13.28515625" bestFit="1" customWidth="1"/>
    <col min="24" max="24" width="12" bestFit="1" customWidth="1"/>
    <col min="30" max="30" width="12" bestFit="1" customWidth="1"/>
  </cols>
  <sheetData>
    <row r="3" spans="2:14" thickBot="1" x14ac:dyDescent="0.35"/>
    <row r="4" spans="2:14" ht="50.25" thickBot="1" x14ac:dyDescent="0.3">
      <c r="B4" s="89"/>
      <c r="C4" s="89" t="s">
        <v>206</v>
      </c>
      <c r="D4" s="89" t="s">
        <v>123</v>
      </c>
      <c r="E4" s="89">
        <v>2021</v>
      </c>
      <c r="F4" s="89" t="s">
        <v>79</v>
      </c>
      <c r="G4" s="89">
        <v>2022</v>
      </c>
      <c r="H4" s="89" t="s">
        <v>79</v>
      </c>
      <c r="I4" s="89">
        <v>2023</v>
      </c>
      <c r="J4" s="89" t="s">
        <v>79</v>
      </c>
      <c r="K4" s="89">
        <v>2025</v>
      </c>
      <c r="L4" s="89" t="s">
        <v>79</v>
      </c>
      <c r="M4" s="89" t="s">
        <v>124</v>
      </c>
      <c r="N4" s="89" t="s">
        <v>77</v>
      </c>
    </row>
    <row r="5" spans="2:14" ht="30.75" thickBot="1" x14ac:dyDescent="0.3">
      <c r="B5" s="234" t="s">
        <v>213</v>
      </c>
      <c r="C5" s="242" t="s">
        <v>214</v>
      </c>
      <c r="D5" s="243">
        <f>'TABLA GENERAL FASE 1 Y 2'!H262</f>
        <v>1600</v>
      </c>
      <c r="E5" s="128">
        <f>'TABLA GENERAL FASE 1 Y 2'!J262</f>
        <v>0</v>
      </c>
      <c r="F5" s="237">
        <f>E5*D5</f>
        <v>0</v>
      </c>
      <c r="G5" s="128">
        <f>'TABLA GENERAL FASE 1 Y 2'!L262</f>
        <v>0</v>
      </c>
      <c r="H5" s="237">
        <f>G5*D5</f>
        <v>0</v>
      </c>
      <c r="I5" s="128">
        <f>'TABLA GENERAL FASE 1 Y 2'!N262</f>
        <v>0</v>
      </c>
      <c r="J5" s="237">
        <f t="shared" ref="J5" si="0">I5*E5</f>
        <v>0</v>
      </c>
      <c r="K5" s="128">
        <f>'TABLA GENERAL FASE 1 Y 2'!P262</f>
        <v>1</v>
      </c>
      <c r="L5" s="237">
        <f>K5*D5</f>
        <v>1600</v>
      </c>
      <c r="M5" s="238">
        <f t="shared" ref="M5:N5" si="1">K5+I5+G5+E5</f>
        <v>1</v>
      </c>
      <c r="N5" s="239">
        <f t="shared" si="1"/>
        <v>1600</v>
      </c>
    </row>
    <row r="6" spans="2:14" ht="25.5" thickBot="1" x14ac:dyDescent="0.3">
      <c r="B6" s="64" t="s">
        <v>63</v>
      </c>
      <c r="C6" s="233" t="s">
        <v>62</v>
      </c>
      <c r="D6" s="209">
        <v>0</v>
      </c>
      <c r="E6" s="682"/>
      <c r="F6" s="103">
        <f>$D$6*$D$5*E5</f>
        <v>0</v>
      </c>
      <c r="G6" s="682"/>
      <c r="H6" s="103">
        <f>$D$6*$D$5*G5</f>
        <v>0</v>
      </c>
      <c r="I6" s="682"/>
      <c r="J6" s="103">
        <f>$D$6*$D$5*I5</f>
        <v>0</v>
      </c>
      <c r="K6" s="682"/>
      <c r="L6" s="103">
        <f>$D$6*$D$5*K5</f>
        <v>0</v>
      </c>
      <c r="M6" s="689"/>
      <c r="N6" s="77"/>
    </row>
    <row r="7" spans="2:14" ht="15.75" thickBot="1" x14ac:dyDescent="0.3">
      <c r="B7" s="62" t="s">
        <v>61</v>
      </c>
      <c r="C7" s="16" t="s">
        <v>60</v>
      </c>
      <c r="D7" s="15">
        <v>0</v>
      </c>
      <c r="E7" s="682"/>
      <c r="F7" s="97">
        <f>$D$7*$D$5*E5</f>
        <v>0</v>
      </c>
      <c r="G7" s="682"/>
      <c r="H7" s="97">
        <f>$D$7*$D$5*G5</f>
        <v>0</v>
      </c>
      <c r="I7" s="682"/>
      <c r="J7" s="97">
        <f>$D$7*$D$5*I5</f>
        <v>0</v>
      </c>
      <c r="K7" s="682"/>
      <c r="L7" s="97">
        <f>$D$7*$D$5*K5</f>
        <v>0</v>
      </c>
      <c r="M7" s="689"/>
      <c r="N7" s="77"/>
    </row>
    <row r="8" spans="2:14" ht="15.75" thickBot="1" x14ac:dyDescent="0.3">
      <c r="B8" s="244" t="s">
        <v>67</v>
      </c>
      <c r="C8" s="245" t="s">
        <v>189</v>
      </c>
      <c r="D8" s="207">
        <f>0.1</f>
        <v>0.1</v>
      </c>
      <c r="E8" s="208"/>
      <c r="F8" s="246">
        <f>D5*E5*D8</f>
        <v>0</v>
      </c>
      <c r="G8" s="208"/>
      <c r="H8" s="246">
        <f>$D$8*$D$5*G5</f>
        <v>0</v>
      </c>
      <c r="I8" s="208"/>
      <c r="J8" s="246">
        <f>$D$8*$D$5*I5</f>
        <v>0</v>
      </c>
      <c r="K8" s="208"/>
      <c r="L8" s="246">
        <f>$D$8*$D$5*K5</f>
        <v>160</v>
      </c>
      <c r="M8" s="211"/>
      <c r="N8" s="77"/>
    </row>
    <row r="9" spans="2:14" ht="15.75" thickBot="1" x14ac:dyDescent="0.3">
      <c r="B9" s="234" t="s">
        <v>215</v>
      </c>
      <c r="C9" s="242" t="s">
        <v>216</v>
      </c>
      <c r="D9" s="243">
        <f>'TABLA GENERAL FASE 1 Y 2'!H263</f>
        <v>3058</v>
      </c>
      <c r="E9" s="128">
        <f>'TABLA GENERAL FASE 1 Y 2'!J263</f>
        <v>1</v>
      </c>
      <c r="F9" s="237">
        <f>E9*D9</f>
        <v>3058</v>
      </c>
      <c r="G9" s="128">
        <f>'TABLA GENERAL FASE 1 Y 2'!L263</f>
        <v>0</v>
      </c>
      <c r="H9" s="237">
        <f>G9*D9</f>
        <v>0</v>
      </c>
      <c r="I9" s="128">
        <f>'TABLA GENERAL FASE 1 Y 2'!N263</f>
        <v>0</v>
      </c>
      <c r="J9" s="237">
        <f t="shared" ref="J9" si="2">I9*E9</f>
        <v>0</v>
      </c>
      <c r="K9" s="128">
        <f>'TABLA GENERAL FASE 1 Y 2'!P263</f>
        <v>0</v>
      </c>
      <c r="L9" s="237">
        <f>K9*D9</f>
        <v>0</v>
      </c>
      <c r="M9" s="238">
        <f t="shared" ref="M9:N9" si="3">K9+I9+G9+E9</f>
        <v>1</v>
      </c>
      <c r="N9" s="239">
        <f t="shared" si="3"/>
        <v>3058</v>
      </c>
    </row>
    <row r="10" spans="2:14" ht="25.5" thickBot="1" x14ac:dyDescent="0.3">
      <c r="B10" s="64" t="s">
        <v>63</v>
      </c>
      <c r="C10" s="233" t="s">
        <v>62</v>
      </c>
      <c r="D10" s="209">
        <v>0.02</v>
      </c>
      <c r="E10" s="682"/>
      <c r="F10" s="103">
        <f>$D$10*$D$9*E9</f>
        <v>61.160000000000004</v>
      </c>
      <c r="G10" s="682"/>
      <c r="H10" s="103">
        <f>$D$10*$D$9*G9</f>
        <v>0</v>
      </c>
      <c r="I10" s="682"/>
      <c r="J10" s="103">
        <f>$D$10*$D$9*I9</f>
        <v>0</v>
      </c>
      <c r="K10" s="682"/>
      <c r="L10" s="103">
        <f>$D$10*$D$9*K9</f>
        <v>0</v>
      </c>
      <c r="M10" s="689"/>
      <c r="N10" s="77"/>
    </row>
    <row r="11" spans="2:14" ht="15.75" thickBot="1" x14ac:dyDescent="0.3">
      <c r="B11" s="62" t="s">
        <v>61</v>
      </c>
      <c r="C11" s="16" t="s">
        <v>60</v>
      </c>
      <c r="D11" s="15">
        <v>1.2E-2</v>
      </c>
      <c r="E11" s="682"/>
      <c r="F11" s="97">
        <f>$D$11*$D$9*E9</f>
        <v>36.695999999999998</v>
      </c>
      <c r="G11" s="682"/>
      <c r="H11" s="97">
        <f>$D$11*$D$9*G9</f>
        <v>0</v>
      </c>
      <c r="I11" s="682"/>
      <c r="J11" s="97">
        <f>$D$11*$D$9*I9</f>
        <v>0</v>
      </c>
      <c r="K11" s="682"/>
      <c r="L11" s="97">
        <f>$D$11*$D$9*K9</f>
        <v>0</v>
      </c>
      <c r="M11" s="689"/>
      <c r="N11" s="77"/>
    </row>
    <row r="12" spans="2:14" ht="15.75" thickBot="1" x14ac:dyDescent="0.3">
      <c r="B12" s="67" t="s">
        <v>67</v>
      </c>
      <c r="C12" s="16" t="s">
        <v>189</v>
      </c>
      <c r="D12" s="15">
        <f>0.05</f>
        <v>0.05</v>
      </c>
      <c r="E12" s="208"/>
      <c r="F12" s="97">
        <f>$D$9*E9*$D$12</f>
        <v>152.9</v>
      </c>
      <c r="G12" s="208"/>
      <c r="H12" s="97">
        <f>$D$9*G9*$D$12</f>
        <v>0</v>
      </c>
      <c r="I12" s="208"/>
      <c r="J12" s="97">
        <f>$D$9*I9*$D$12</f>
        <v>0</v>
      </c>
      <c r="K12" s="208"/>
      <c r="L12" s="97">
        <f>$D$9*K9*$D$12</f>
        <v>0</v>
      </c>
      <c r="M12" s="211"/>
      <c r="N12" s="77"/>
    </row>
    <row r="13" spans="2:14" thickBot="1" x14ac:dyDescent="0.35">
      <c r="B13" s="234" t="s">
        <v>217</v>
      </c>
      <c r="C13" s="242" t="s">
        <v>218</v>
      </c>
      <c r="D13" s="243">
        <f>'TABLA GENERAL FASE 1 Y 2'!H264</f>
        <v>2880</v>
      </c>
      <c r="E13" s="128">
        <f>'TABLA GENERAL FASE 1 Y 2'!J264</f>
        <v>4</v>
      </c>
      <c r="F13" s="237">
        <f>E13*D13</f>
        <v>11520</v>
      </c>
      <c r="G13" s="128">
        <f>'TABLA GENERAL FASE 1 Y 2'!L264</f>
        <v>0</v>
      </c>
      <c r="H13" s="237">
        <f>G13*D13</f>
        <v>0</v>
      </c>
      <c r="I13" s="128">
        <f>'TABLA GENERAL FASE 1 Y 2'!N264</f>
        <v>0</v>
      </c>
      <c r="J13" s="237">
        <f t="shared" ref="J13" si="4">I13*E13</f>
        <v>0</v>
      </c>
      <c r="K13" s="128">
        <f>'TABLA GENERAL FASE 1 Y 2'!P264</f>
        <v>0</v>
      </c>
      <c r="L13" s="237">
        <f>K13*D13</f>
        <v>0</v>
      </c>
      <c r="M13" s="238">
        <f t="shared" ref="M13:N13" si="5">K13+I13+G13+E13</f>
        <v>4</v>
      </c>
      <c r="N13" s="239">
        <f t="shared" si="5"/>
        <v>11520</v>
      </c>
    </row>
    <row r="14" spans="2:14" ht="25.5" thickBot="1" x14ac:dyDescent="0.3">
      <c r="B14" s="62" t="s">
        <v>63</v>
      </c>
      <c r="C14" s="63" t="s">
        <v>62</v>
      </c>
      <c r="D14" s="15">
        <v>0.01</v>
      </c>
      <c r="E14" s="681"/>
      <c r="F14" s="97">
        <f>$D$14*$D$13*E13</f>
        <v>115.2</v>
      </c>
      <c r="G14" s="681"/>
      <c r="H14" s="97">
        <f>$D$14*$D$13*G13</f>
        <v>0</v>
      </c>
      <c r="I14" s="681"/>
      <c r="J14" s="97">
        <f>$D$14*$D$13*I13</f>
        <v>0</v>
      </c>
      <c r="K14" s="681"/>
      <c r="L14" s="97">
        <f>$D$14*$D$13*K13</f>
        <v>0</v>
      </c>
      <c r="M14" s="688"/>
      <c r="N14" s="77"/>
    </row>
    <row r="15" spans="2:14" ht="15.75" thickBot="1" x14ac:dyDescent="0.3">
      <c r="B15" s="62" t="s">
        <v>61</v>
      </c>
      <c r="C15" s="16" t="s">
        <v>60</v>
      </c>
      <c r="D15" s="15">
        <v>1.0999999999999999E-2</v>
      </c>
      <c r="E15" s="682"/>
      <c r="F15" s="97">
        <f>$D$15*$D$13*E13</f>
        <v>126.72</v>
      </c>
      <c r="G15" s="682"/>
      <c r="H15" s="97">
        <f>$D$15*$D$13*G13</f>
        <v>0</v>
      </c>
      <c r="I15" s="682"/>
      <c r="J15" s="97">
        <f>$D$15*$D$13*I13</f>
        <v>0</v>
      </c>
      <c r="K15" s="682"/>
      <c r="L15" s="97">
        <f>$D$15*$D$13*K13</f>
        <v>0</v>
      </c>
      <c r="M15" s="689"/>
      <c r="N15" s="77"/>
    </row>
    <row r="16" spans="2:14" ht="15.75" thickBot="1" x14ac:dyDescent="0.3">
      <c r="B16" s="67" t="s">
        <v>67</v>
      </c>
      <c r="C16" s="16" t="s">
        <v>189</v>
      </c>
      <c r="D16" s="15">
        <f>0.04</f>
        <v>0.04</v>
      </c>
      <c r="E16" s="208"/>
      <c r="F16" s="97">
        <f>D13*E13*$D$16</f>
        <v>460.8</v>
      </c>
      <c r="G16" s="208"/>
      <c r="H16" s="97">
        <f>F13*G13*$D$16</f>
        <v>0</v>
      </c>
      <c r="I16" s="208"/>
      <c r="J16" s="97">
        <f>H13*I13*$D$16</f>
        <v>0</v>
      </c>
      <c r="K16" s="208"/>
      <c r="L16" s="97">
        <f>J13*K13*$D$16</f>
        <v>0</v>
      </c>
      <c r="M16" s="211"/>
      <c r="N16" s="77"/>
    </row>
    <row r="17" spans="2:29" thickBot="1" x14ac:dyDescent="0.35">
      <c r="B17" s="234" t="s">
        <v>219</v>
      </c>
      <c r="C17" s="242" t="s">
        <v>220</v>
      </c>
      <c r="D17" s="243">
        <f>'TABLA GENERAL FASE 1 Y 2'!H265</f>
        <v>1990</v>
      </c>
      <c r="E17" s="128">
        <f>'TABLA GENERAL FASE 1 Y 2'!J265</f>
        <v>0</v>
      </c>
      <c r="F17" s="237">
        <f>E17*D17</f>
        <v>0</v>
      </c>
      <c r="G17" s="128">
        <f>'TABLA GENERAL FASE 1 Y 2'!L265</f>
        <v>0</v>
      </c>
      <c r="H17" s="237">
        <f>G17*D17</f>
        <v>0</v>
      </c>
      <c r="I17" s="128">
        <f>'TABLA GENERAL FASE 1 Y 2'!N265</f>
        <v>0</v>
      </c>
      <c r="J17" s="237">
        <f t="shared" ref="J17" si="6">I17*E17</f>
        <v>0</v>
      </c>
      <c r="K17" s="128">
        <f>'TABLA GENERAL FASE 1 Y 2'!P265</f>
        <v>1</v>
      </c>
      <c r="L17" s="237">
        <f>K17*D17</f>
        <v>1990</v>
      </c>
      <c r="M17" s="238">
        <f t="shared" ref="M17:N17" si="7">K17+I17+G17+E17</f>
        <v>1</v>
      </c>
      <c r="N17" s="239">
        <f t="shared" si="7"/>
        <v>1990</v>
      </c>
    </row>
    <row r="18" spans="2:29" ht="25.5" thickBot="1" x14ac:dyDescent="0.3">
      <c r="B18" s="62" t="s">
        <v>63</v>
      </c>
      <c r="C18" s="63" t="s">
        <v>62</v>
      </c>
      <c r="D18" s="15">
        <v>0.01</v>
      </c>
      <c r="E18" s="681"/>
      <c r="F18" s="97">
        <f>$D$18*$D$17*E17</f>
        <v>0</v>
      </c>
      <c r="G18" s="681"/>
      <c r="H18" s="97">
        <f>$D$18*$D$17*G17</f>
        <v>0</v>
      </c>
      <c r="I18" s="681"/>
      <c r="J18" s="97">
        <f>$D$18*$D$17*I17</f>
        <v>0</v>
      </c>
      <c r="K18" s="681"/>
      <c r="L18" s="97">
        <f>$D$18*$D$17*K17</f>
        <v>19.900000000000002</v>
      </c>
      <c r="M18" s="688"/>
      <c r="N18" s="77"/>
    </row>
    <row r="19" spans="2:29" ht="15.75" thickBot="1" x14ac:dyDescent="0.3">
      <c r="B19" s="62" t="s">
        <v>61</v>
      </c>
      <c r="C19" s="16" t="s">
        <v>60</v>
      </c>
      <c r="D19" s="15">
        <v>0.04</v>
      </c>
      <c r="E19" s="682"/>
      <c r="F19" s="97">
        <f>$D$19*$D$17*E17</f>
        <v>0</v>
      </c>
      <c r="G19" s="682"/>
      <c r="H19" s="97">
        <f>$D$19*$D$17*G17</f>
        <v>0</v>
      </c>
      <c r="I19" s="682"/>
      <c r="J19" s="97">
        <f>$D$19*$D$17*I17</f>
        <v>0</v>
      </c>
      <c r="K19" s="682"/>
      <c r="L19" s="97">
        <f>$D$19*$D$17*K17</f>
        <v>79.600000000000009</v>
      </c>
      <c r="M19" s="689"/>
      <c r="N19" s="77"/>
    </row>
    <row r="20" spans="2:29" ht="15.75" thickBot="1" x14ac:dyDescent="0.3">
      <c r="B20" s="67" t="s">
        <v>67</v>
      </c>
      <c r="C20" s="16" t="s">
        <v>189</v>
      </c>
      <c r="D20" s="15">
        <f>0.04</f>
        <v>0.04</v>
      </c>
      <c r="E20" s="208"/>
      <c r="F20" s="97">
        <f>$D$17*E17*$D$20</f>
        <v>0</v>
      </c>
      <c r="G20" s="208"/>
      <c r="H20" s="97">
        <f>$D$17*G17*$D$20</f>
        <v>0</v>
      </c>
      <c r="I20" s="208"/>
      <c r="J20" s="97">
        <f>$D$17*I17*$D$20</f>
        <v>0</v>
      </c>
      <c r="K20" s="208"/>
      <c r="L20" s="97">
        <f>$D$17*K17*$D$20</f>
        <v>79.600000000000009</v>
      </c>
      <c r="M20" s="211"/>
      <c r="N20" s="77"/>
    </row>
    <row r="21" spans="2:29" thickBot="1" x14ac:dyDescent="0.35">
      <c r="B21" s="234" t="s">
        <v>221</v>
      </c>
      <c r="C21" s="242" t="s">
        <v>222</v>
      </c>
      <c r="D21" s="243">
        <f>'TABLA GENERAL FASE 1 Y 2'!H266</f>
        <v>43500</v>
      </c>
      <c r="E21" s="128">
        <f>'TABLA GENERAL FASE 1 Y 2'!J266</f>
        <v>1</v>
      </c>
      <c r="F21" s="237">
        <f>E21*D21</f>
        <v>43500</v>
      </c>
      <c r="G21" s="128">
        <f>'TABLA GENERAL FASE 1 Y 2'!L266</f>
        <v>0</v>
      </c>
      <c r="H21" s="237">
        <f>G21*D21</f>
        <v>0</v>
      </c>
      <c r="I21" s="128">
        <f>'TABLA GENERAL FASE 1 Y 2'!N266</f>
        <v>0</v>
      </c>
      <c r="J21" s="237">
        <f t="shared" ref="J21" si="8">I21*E21</f>
        <v>0</v>
      </c>
      <c r="K21" s="128">
        <f>'TABLA GENERAL FASE 1 Y 2'!P266</f>
        <v>0</v>
      </c>
      <c r="L21" s="237">
        <f>K21*D21</f>
        <v>0</v>
      </c>
      <c r="M21" s="238">
        <f t="shared" ref="M21:N21" si="9">K21+I21+G21+E21</f>
        <v>1</v>
      </c>
      <c r="N21" s="239">
        <f t="shared" si="9"/>
        <v>43500</v>
      </c>
    </row>
    <row r="22" spans="2:29" ht="25.5" thickBot="1" x14ac:dyDescent="0.3">
      <c r="B22" s="62" t="s">
        <v>63</v>
      </c>
      <c r="C22" s="63" t="s">
        <v>62</v>
      </c>
      <c r="D22" s="15">
        <v>0.01</v>
      </c>
      <c r="E22" s="681"/>
      <c r="F22" s="97">
        <f>$D$21*$D$22*E21</f>
        <v>435</v>
      </c>
      <c r="G22" s="681"/>
      <c r="H22" s="97">
        <f>$D$21*$D$22*G21</f>
        <v>0</v>
      </c>
      <c r="I22" s="681"/>
      <c r="J22" s="97">
        <f>$D$21*$D$22*I21</f>
        <v>0</v>
      </c>
      <c r="K22" s="681"/>
      <c r="L22" s="97">
        <f>$D$21*$D$22*K21</f>
        <v>0</v>
      </c>
      <c r="M22" s="688"/>
      <c r="N22" s="77"/>
    </row>
    <row r="23" spans="2:29" ht="15.75" thickBot="1" x14ac:dyDescent="0.3">
      <c r="B23" s="62" t="s">
        <v>61</v>
      </c>
      <c r="C23" s="16" t="s">
        <v>60</v>
      </c>
      <c r="D23" s="15">
        <v>1.0999999999999999E-2</v>
      </c>
      <c r="E23" s="682"/>
      <c r="F23" s="97">
        <f>$D$23*$D$21*E21</f>
        <v>478.5</v>
      </c>
      <c r="G23" s="682"/>
      <c r="H23" s="97">
        <f>$D$23*$D$21*G21</f>
        <v>0</v>
      </c>
      <c r="I23" s="682"/>
      <c r="J23" s="97">
        <f>$D$23*$D$21*I21</f>
        <v>0</v>
      </c>
      <c r="K23" s="682"/>
      <c r="L23" s="97">
        <f>$D$23*$D$21*K21</f>
        <v>0</v>
      </c>
      <c r="M23" s="689"/>
      <c r="N23" s="77"/>
    </row>
    <row r="24" spans="2:29" ht="15.75" thickBot="1" x14ac:dyDescent="0.3">
      <c r="B24" s="67" t="s">
        <v>67</v>
      </c>
      <c r="C24" s="52" t="s">
        <v>189</v>
      </c>
      <c r="D24" s="51">
        <f>0.04</f>
        <v>0.04</v>
      </c>
      <c r="E24" s="210"/>
      <c r="F24" s="100">
        <f>$D$21*E21*$D$24</f>
        <v>1740</v>
      </c>
      <c r="G24" s="210"/>
      <c r="H24" s="100">
        <f>$D$21*G21*$D$24</f>
        <v>0</v>
      </c>
      <c r="I24" s="210"/>
      <c r="J24" s="100">
        <f>$D$21*I21*$D$24</f>
        <v>0</v>
      </c>
      <c r="K24" s="210"/>
      <c r="L24" s="100">
        <f>$D$21*K21*$D$24</f>
        <v>0</v>
      </c>
      <c r="M24" s="101"/>
      <c r="N24" s="102"/>
    </row>
    <row r="25" spans="2:29" ht="15.75" thickBot="1" x14ac:dyDescent="0.3">
      <c r="D25" s="28">
        <v>2021</v>
      </c>
      <c r="E25">
        <v>1</v>
      </c>
      <c r="F25" s="103">
        <f>F23+F22+F19+F18+F15+F14+F11+F10+F7+F6</f>
        <v>1253.2760000000001</v>
      </c>
      <c r="G25">
        <v>2022</v>
      </c>
      <c r="H25" s="103">
        <f>H23+H22+H19+H18+H15+H14+H11+H10+H7+H6</f>
        <v>0</v>
      </c>
      <c r="I25">
        <v>2023</v>
      </c>
      <c r="J25" s="103">
        <f>J23+J22+J19+J18+J15+J14+J11+J10+J7+J6</f>
        <v>0</v>
      </c>
      <c r="K25">
        <v>2025</v>
      </c>
      <c r="L25" s="103">
        <f>L23+L22+L19+L18+L15+L14+L11+L10+L7+L6</f>
        <v>99.500000000000014</v>
      </c>
    </row>
    <row r="26" spans="2:29" x14ac:dyDescent="0.25">
      <c r="D26" s="35"/>
      <c r="E26">
        <v>2</v>
      </c>
      <c r="F26" s="97">
        <f>F24+F20+F16+F12+F8</f>
        <v>2353.7000000000003</v>
      </c>
      <c r="H26" s="97">
        <f>H24+H20+H16+H12+H8</f>
        <v>0</v>
      </c>
      <c r="J26" s="97">
        <f>J24+J20+J16+J12+J8</f>
        <v>0</v>
      </c>
      <c r="L26" s="97">
        <f>L24+L20+L16+L12+L8</f>
        <v>239.60000000000002</v>
      </c>
    </row>
    <row r="27" spans="2:29" x14ac:dyDescent="0.25">
      <c r="D27" s="35"/>
      <c r="F27" s="49"/>
      <c r="H27" s="49"/>
      <c r="J27" s="49"/>
      <c r="L27" s="49"/>
    </row>
    <row r="28" spans="2:29" x14ac:dyDescent="0.25">
      <c r="D28" s="35"/>
      <c r="F28" s="49"/>
      <c r="H28" s="49"/>
      <c r="J28" s="49"/>
      <c r="L28" s="49"/>
    </row>
    <row r="30" spans="2:29" ht="15" customHeight="1" x14ac:dyDescent="0.25">
      <c r="D30" s="221">
        <v>2021</v>
      </c>
      <c r="E30" s="221">
        <v>2022</v>
      </c>
      <c r="F30" s="221">
        <v>2023</v>
      </c>
      <c r="G30" s="221">
        <v>2024</v>
      </c>
      <c r="H30" s="221">
        <v>2025</v>
      </c>
      <c r="I30" s="221">
        <v>2026</v>
      </c>
      <c r="J30" s="221">
        <v>2027</v>
      </c>
      <c r="K30" s="221">
        <v>2028</v>
      </c>
      <c r="L30" s="221">
        <v>2029</v>
      </c>
      <c r="M30" s="221">
        <v>2030</v>
      </c>
      <c r="N30" s="221">
        <v>2031</v>
      </c>
      <c r="O30" s="221">
        <v>2032</v>
      </c>
      <c r="P30" s="221">
        <v>2033</v>
      </c>
      <c r="Q30" s="221">
        <v>2034</v>
      </c>
      <c r="R30" s="221">
        <v>2035</v>
      </c>
      <c r="S30" s="221">
        <v>2036</v>
      </c>
      <c r="T30" s="221">
        <v>2037</v>
      </c>
      <c r="U30" s="221">
        <v>2038</v>
      </c>
      <c r="V30" s="221">
        <v>2039</v>
      </c>
      <c r="W30" s="221">
        <v>2040</v>
      </c>
      <c r="X30" s="221">
        <v>2041</v>
      </c>
      <c r="Y30" s="221">
        <v>2042</v>
      </c>
      <c r="Z30" s="221">
        <v>2043</v>
      </c>
      <c r="AA30" s="221">
        <v>2044</v>
      </c>
      <c r="AB30" s="221">
        <v>2045</v>
      </c>
      <c r="AC30" s="221">
        <v>2046</v>
      </c>
    </row>
    <row r="31" spans="2:29" ht="15" customHeight="1" x14ac:dyDescent="0.25">
      <c r="D31" s="221" t="s">
        <v>59</v>
      </c>
      <c r="E31" s="221" t="s">
        <v>40</v>
      </c>
      <c r="F31" s="221" t="s">
        <v>39</v>
      </c>
      <c r="G31" s="221" t="s">
        <v>38</v>
      </c>
      <c r="H31" s="221" t="s">
        <v>58</v>
      </c>
      <c r="I31" s="221" t="s">
        <v>36</v>
      </c>
      <c r="J31" s="221" t="s">
        <v>35</v>
      </c>
      <c r="K31" s="221" t="s">
        <v>34</v>
      </c>
      <c r="L31" s="221" t="s">
        <v>33</v>
      </c>
      <c r="M31" s="221" t="s">
        <v>32</v>
      </c>
      <c r="N31" s="221" t="s">
        <v>31</v>
      </c>
      <c r="O31" s="221" t="s">
        <v>30</v>
      </c>
      <c r="P31" s="221" t="s">
        <v>57</v>
      </c>
      <c r="Q31" s="221" t="s">
        <v>56</v>
      </c>
      <c r="R31" s="221" t="s">
        <v>27</v>
      </c>
      <c r="S31" s="221" t="s">
        <v>55</v>
      </c>
      <c r="T31" s="221" t="s">
        <v>54</v>
      </c>
      <c r="U31" s="221" t="s">
        <v>24</v>
      </c>
      <c r="V31" s="221" t="s">
        <v>23</v>
      </c>
      <c r="W31" s="221" t="s">
        <v>53</v>
      </c>
      <c r="X31" s="221" t="s">
        <v>21</v>
      </c>
      <c r="Y31" s="221" t="s">
        <v>52</v>
      </c>
      <c r="Z31" s="221" t="s">
        <v>51</v>
      </c>
      <c r="AA31" s="221" t="s">
        <v>50</v>
      </c>
      <c r="AB31" s="221" t="s">
        <v>49</v>
      </c>
      <c r="AC31" s="221" t="s">
        <v>223</v>
      </c>
    </row>
    <row r="32" spans="2:29" ht="15" customHeight="1" x14ac:dyDescent="0.25">
      <c r="C32" s="5" t="s">
        <v>134</v>
      </c>
      <c r="D32" s="3"/>
      <c r="E32" s="3">
        <f>$F$25</f>
        <v>1253.2760000000001</v>
      </c>
      <c r="F32" s="3">
        <f t="shared" ref="F32:H32" si="10">$F$25</f>
        <v>1253.2760000000001</v>
      </c>
      <c r="G32" s="3">
        <f t="shared" si="10"/>
        <v>1253.2760000000001</v>
      </c>
      <c r="H32" s="3">
        <f t="shared" si="10"/>
        <v>1253.2760000000001</v>
      </c>
      <c r="I32" s="3">
        <f>H32+$L$25</f>
        <v>1352.7760000000001</v>
      </c>
      <c r="J32" s="3">
        <f t="shared" ref="J32:X32" si="11">I32+$L$25</f>
        <v>1452.2760000000001</v>
      </c>
      <c r="K32" s="3">
        <f t="shared" si="11"/>
        <v>1551.7760000000001</v>
      </c>
      <c r="L32" s="3">
        <f t="shared" si="11"/>
        <v>1651.2760000000001</v>
      </c>
      <c r="M32" s="3">
        <f t="shared" si="11"/>
        <v>1750.7760000000001</v>
      </c>
      <c r="N32" s="3">
        <f t="shared" si="11"/>
        <v>1850.2760000000001</v>
      </c>
      <c r="O32" s="3">
        <f t="shared" si="11"/>
        <v>1949.7760000000001</v>
      </c>
      <c r="P32" s="3">
        <f t="shared" si="11"/>
        <v>2049.2760000000003</v>
      </c>
      <c r="Q32" s="3">
        <f t="shared" si="11"/>
        <v>2148.7760000000003</v>
      </c>
      <c r="R32" s="3">
        <f t="shared" si="11"/>
        <v>2248.2760000000003</v>
      </c>
      <c r="S32" s="3">
        <f t="shared" si="11"/>
        <v>2347.7760000000003</v>
      </c>
      <c r="T32" s="3">
        <f t="shared" si="11"/>
        <v>2447.2760000000003</v>
      </c>
      <c r="U32" s="3">
        <f t="shared" si="11"/>
        <v>2546.7760000000003</v>
      </c>
      <c r="V32" s="3">
        <f t="shared" si="11"/>
        <v>2646.2760000000003</v>
      </c>
      <c r="W32" s="3">
        <f t="shared" si="11"/>
        <v>2745.7760000000003</v>
      </c>
      <c r="X32" s="3">
        <f t="shared" si="11"/>
        <v>2845.2760000000003</v>
      </c>
      <c r="Y32" s="3">
        <f>$L$25</f>
        <v>99.500000000000014</v>
      </c>
      <c r="Z32" s="3">
        <f t="shared" ref="Z32:AC32" si="12">$L$25</f>
        <v>99.500000000000014</v>
      </c>
      <c r="AA32" s="3">
        <f t="shared" si="12"/>
        <v>99.500000000000014</v>
      </c>
      <c r="AB32" s="3">
        <f t="shared" si="12"/>
        <v>99.500000000000014</v>
      </c>
      <c r="AC32" s="3">
        <f t="shared" si="12"/>
        <v>99.500000000000014</v>
      </c>
    </row>
    <row r="33" spans="3:30" ht="30.75" thickBot="1" x14ac:dyDescent="0.3">
      <c r="C33" s="247" t="s">
        <v>189</v>
      </c>
      <c r="D33" s="248"/>
      <c r="E33" s="248"/>
      <c r="F33" s="248"/>
      <c r="G33" s="248"/>
      <c r="H33" s="248"/>
      <c r="I33" s="248">
        <f>$F$26</f>
        <v>2353.7000000000003</v>
      </c>
      <c r="J33" s="248"/>
      <c r="K33" s="248"/>
      <c r="L33" s="248"/>
      <c r="M33" s="248">
        <f>$L$26</f>
        <v>239.60000000000002</v>
      </c>
      <c r="N33" s="248">
        <f>I33</f>
        <v>2353.7000000000003</v>
      </c>
      <c r="O33" s="248"/>
      <c r="P33" s="248"/>
      <c r="Q33" s="248"/>
      <c r="R33" s="248">
        <f>M33</f>
        <v>239.60000000000002</v>
      </c>
      <c r="S33" s="248">
        <f>N33</f>
        <v>2353.7000000000003</v>
      </c>
      <c r="T33" s="248"/>
      <c r="U33" s="248"/>
      <c r="V33" s="248"/>
      <c r="W33" s="248">
        <f>R33</f>
        <v>239.60000000000002</v>
      </c>
      <c r="X33" s="248"/>
      <c r="Y33" s="248"/>
      <c r="Z33" s="248"/>
      <c r="AA33" s="248"/>
      <c r="AB33" s="248">
        <f>W33</f>
        <v>239.60000000000002</v>
      </c>
      <c r="AC33" s="249"/>
    </row>
    <row r="34" spans="3:30" ht="15.75" thickBot="1" x14ac:dyDescent="0.3">
      <c r="C34" s="242" t="s">
        <v>46</v>
      </c>
      <c r="D34" s="250">
        <f>SUM(D32:D33)</f>
        <v>0</v>
      </c>
      <c r="E34" s="250">
        <f>SUM(E32:E33)</f>
        <v>1253.2760000000001</v>
      </c>
      <c r="F34" s="250">
        <f t="shared" ref="F34:AC34" si="13">SUM(F32:F33)</f>
        <v>1253.2760000000001</v>
      </c>
      <c r="G34" s="250">
        <f t="shared" si="13"/>
        <v>1253.2760000000001</v>
      </c>
      <c r="H34" s="250">
        <f t="shared" si="13"/>
        <v>1253.2760000000001</v>
      </c>
      <c r="I34" s="250">
        <f t="shared" si="13"/>
        <v>3706.4760000000006</v>
      </c>
      <c r="J34" s="250">
        <f t="shared" si="13"/>
        <v>1452.2760000000001</v>
      </c>
      <c r="K34" s="250">
        <f t="shared" si="13"/>
        <v>1551.7760000000001</v>
      </c>
      <c r="L34" s="250">
        <f t="shared" si="13"/>
        <v>1651.2760000000001</v>
      </c>
      <c r="M34" s="250">
        <f t="shared" si="13"/>
        <v>1990.3760000000002</v>
      </c>
      <c r="N34" s="250">
        <f t="shared" si="13"/>
        <v>4203.9760000000006</v>
      </c>
      <c r="O34" s="250">
        <f t="shared" si="13"/>
        <v>1949.7760000000001</v>
      </c>
      <c r="P34" s="250">
        <f t="shared" si="13"/>
        <v>2049.2760000000003</v>
      </c>
      <c r="Q34" s="250">
        <f t="shared" si="13"/>
        <v>2148.7760000000003</v>
      </c>
      <c r="R34" s="250">
        <f t="shared" si="13"/>
        <v>2487.8760000000002</v>
      </c>
      <c r="S34" s="250">
        <f t="shared" si="13"/>
        <v>4701.4760000000006</v>
      </c>
      <c r="T34" s="250">
        <f t="shared" si="13"/>
        <v>2447.2760000000003</v>
      </c>
      <c r="U34" s="250">
        <f t="shared" si="13"/>
        <v>2546.7760000000003</v>
      </c>
      <c r="V34" s="250">
        <f t="shared" si="13"/>
        <v>2646.2760000000003</v>
      </c>
      <c r="W34" s="250">
        <f t="shared" si="13"/>
        <v>2985.3760000000002</v>
      </c>
      <c r="X34" s="250">
        <f t="shared" si="13"/>
        <v>2845.2760000000003</v>
      </c>
      <c r="Y34" s="250">
        <f t="shared" si="13"/>
        <v>99.500000000000014</v>
      </c>
      <c r="Z34" s="250">
        <f t="shared" si="13"/>
        <v>99.500000000000014</v>
      </c>
      <c r="AA34" s="250">
        <f t="shared" si="13"/>
        <v>99.500000000000014</v>
      </c>
      <c r="AB34" s="250">
        <f t="shared" si="13"/>
        <v>339.1</v>
      </c>
      <c r="AC34" s="251">
        <f t="shared" si="13"/>
        <v>99.500000000000014</v>
      </c>
    </row>
    <row r="35" spans="3:30" x14ac:dyDescent="0.25">
      <c r="AD35" s="240"/>
    </row>
    <row r="36" spans="3:30" ht="15.75" thickBot="1" x14ac:dyDescent="0.3">
      <c r="AD36" s="226"/>
    </row>
    <row r="85" ht="15" customHeight="1" x14ac:dyDescent="0.25"/>
    <row r="86" ht="15" customHeight="1" x14ac:dyDescent="0.25"/>
    <row r="87" ht="15" customHeight="1" x14ac:dyDescent="0.25"/>
    <row r="114" ht="15" customHeight="1" x14ac:dyDescent="0.25"/>
    <row r="115" ht="15" customHeight="1" x14ac:dyDescent="0.25"/>
    <row r="116" ht="15" customHeight="1" x14ac:dyDescent="0.25"/>
  </sheetData>
  <mergeCells count="25">
    <mergeCell ref="E10:E11"/>
    <mergeCell ref="G10:G11"/>
    <mergeCell ref="I10:I11"/>
    <mergeCell ref="K10:K11"/>
    <mergeCell ref="M10:M11"/>
    <mergeCell ref="E6:E7"/>
    <mergeCell ref="G6:G7"/>
    <mergeCell ref="I6:I7"/>
    <mergeCell ref="K6:K7"/>
    <mergeCell ref="M6:M7"/>
    <mergeCell ref="E18:E19"/>
    <mergeCell ref="G18:G19"/>
    <mergeCell ref="I18:I19"/>
    <mergeCell ref="K18:K19"/>
    <mergeCell ref="M18:M19"/>
    <mergeCell ref="E14:E15"/>
    <mergeCell ref="G14:G15"/>
    <mergeCell ref="I14:I15"/>
    <mergeCell ref="K14:K15"/>
    <mergeCell ref="M14:M15"/>
    <mergeCell ref="E22:E23"/>
    <mergeCell ref="G22:G23"/>
    <mergeCell ref="I22:I23"/>
    <mergeCell ref="K22:K23"/>
    <mergeCell ref="M22:M2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79"/>
  <sheetViews>
    <sheetView topLeftCell="B37" zoomScale="70" zoomScaleNormal="70" workbookViewId="0">
      <selection activeCell="O9" sqref="O9"/>
    </sheetView>
  </sheetViews>
  <sheetFormatPr baseColWidth="10" defaultRowHeight="15" x14ac:dyDescent="0.25"/>
  <cols>
    <col min="1" max="1" width="15.7109375" hidden="1" customWidth="1"/>
    <col min="2" max="2" width="8.28515625" customWidth="1"/>
    <col min="3" max="3" width="19" customWidth="1"/>
    <col min="4" max="4" width="30" customWidth="1"/>
    <col min="5" max="5" width="7.7109375" customWidth="1"/>
    <col min="6" max="6" width="51.5703125" customWidth="1"/>
    <col min="7" max="7" width="18.7109375" customWidth="1"/>
    <col min="8" max="8" width="16.7109375" customWidth="1"/>
    <col min="9" max="9" width="18.28515625" style="111" customWidth="1"/>
    <col min="10" max="10" width="9.28515625" customWidth="1"/>
    <col min="11" max="11" width="18.28515625" customWidth="1"/>
    <col min="12" max="12" width="11.42578125" customWidth="1"/>
    <col min="13" max="13" width="18.28515625" customWidth="1"/>
    <col min="14" max="14" width="9.42578125" customWidth="1"/>
    <col min="15" max="15" width="18" customWidth="1"/>
    <col min="16" max="16" width="9.42578125" customWidth="1"/>
    <col min="17" max="17" width="18.5703125" customWidth="1"/>
    <col min="18" max="18" width="17.7109375" customWidth="1"/>
    <col min="19" max="19" width="18.28515625" customWidth="1"/>
    <col min="20" max="20" width="20.28515625" customWidth="1"/>
    <col min="21" max="21" width="15.28515625" bestFit="1" customWidth="1"/>
    <col min="22" max="22" width="11.42578125" customWidth="1"/>
    <col min="23" max="24" width="9.42578125" customWidth="1"/>
    <col min="25" max="25" width="17.7109375" customWidth="1"/>
  </cols>
  <sheetData>
    <row r="1" spans="1:25" ht="47.25" customHeight="1" thickBot="1" x14ac:dyDescent="0.35">
      <c r="B1" s="660" t="s">
        <v>224</v>
      </c>
      <c r="C1" s="660"/>
      <c r="D1" s="660"/>
      <c r="E1" s="660"/>
      <c r="F1" s="660"/>
      <c r="G1" s="660"/>
      <c r="H1" s="660"/>
      <c r="I1" s="660"/>
      <c r="J1" s="660"/>
      <c r="K1" s="660"/>
      <c r="L1" s="660"/>
      <c r="M1" s="660"/>
      <c r="N1" s="660"/>
      <c r="O1" s="660"/>
      <c r="P1" s="660"/>
      <c r="Q1" s="660"/>
      <c r="R1" s="660"/>
      <c r="S1" s="660"/>
    </row>
    <row r="2" spans="1:25" ht="15.75" hidden="1" customHeight="1" thickBot="1" x14ac:dyDescent="0.35">
      <c r="J2" s="661" t="s">
        <v>225</v>
      </c>
      <c r="K2" s="661"/>
      <c r="L2" s="661"/>
      <c r="M2" s="661"/>
      <c r="N2" s="661"/>
      <c r="O2" s="661"/>
      <c r="P2" s="662" t="s">
        <v>226</v>
      </c>
      <c r="Q2" s="662"/>
      <c r="U2" s="661" t="s">
        <v>225</v>
      </c>
      <c r="V2" s="661"/>
      <c r="W2" s="661"/>
      <c r="X2" s="324" t="s">
        <v>226</v>
      </c>
    </row>
    <row r="3" spans="1:25" ht="15.75" customHeight="1" thickBot="1" x14ac:dyDescent="0.35">
      <c r="B3" s="195"/>
      <c r="C3" s="195"/>
      <c r="D3" s="195"/>
      <c r="E3" s="195"/>
      <c r="F3" s="195"/>
      <c r="G3" s="195"/>
      <c r="H3" s="195"/>
      <c r="I3" s="282"/>
      <c r="J3" s="663" t="s">
        <v>225</v>
      </c>
      <c r="K3" s="664"/>
      <c r="L3" s="664"/>
      <c r="M3" s="664"/>
      <c r="N3" s="664"/>
      <c r="O3" s="665"/>
      <c r="P3" s="663" t="s">
        <v>226</v>
      </c>
      <c r="Q3" s="665"/>
      <c r="R3" s="663" t="s">
        <v>227</v>
      </c>
      <c r="S3" s="665"/>
      <c r="U3" s="663" t="s">
        <v>225</v>
      </c>
      <c r="V3" s="664"/>
      <c r="W3" s="664"/>
      <c r="X3" s="325" t="s">
        <v>226</v>
      </c>
      <c r="Y3" s="325" t="s">
        <v>227</v>
      </c>
    </row>
    <row r="4" spans="1:25" ht="53.25" customHeight="1" thickBot="1" x14ac:dyDescent="0.35">
      <c r="A4" s="314" t="s">
        <v>228</v>
      </c>
      <c r="B4" s="314"/>
      <c r="C4" s="112"/>
      <c r="D4" s="314"/>
      <c r="E4" s="314"/>
      <c r="F4" s="314" t="s">
        <v>85</v>
      </c>
      <c r="G4" s="314" t="s">
        <v>229</v>
      </c>
      <c r="H4" s="314" t="s">
        <v>123</v>
      </c>
      <c r="I4" s="113" t="s">
        <v>230</v>
      </c>
      <c r="J4" s="314">
        <v>2021</v>
      </c>
      <c r="K4" s="314" t="s">
        <v>79</v>
      </c>
      <c r="L4" s="314">
        <v>2022</v>
      </c>
      <c r="M4" s="314" t="s">
        <v>79</v>
      </c>
      <c r="N4" s="314">
        <v>2023</v>
      </c>
      <c r="O4" s="314" t="s">
        <v>79</v>
      </c>
      <c r="P4" s="314">
        <v>2025</v>
      </c>
      <c r="Q4" s="314" t="s">
        <v>79</v>
      </c>
      <c r="R4" s="314" t="s">
        <v>78</v>
      </c>
      <c r="S4" s="314" t="s">
        <v>77</v>
      </c>
      <c r="U4" s="335">
        <v>2021</v>
      </c>
      <c r="V4" s="335">
        <v>2022</v>
      </c>
      <c r="W4" s="335">
        <v>2023</v>
      </c>
      <c r="X4" s="335">
        <v>2025</v>
      </c>
      <c r="Y4" s="335" t="s">
        <v>78</v>
      </c>
    </row>
    <row r="5" spans="1:25" ht="43.5" customHeight="1" thickTop="1" thickBot="1" x14ac:dyDescent="0.3">
      <c r="A5" s="550" t="s">
        <v>224</v>
      </c>
      <c r="B5" s="551" t="s">
        <v>231</v>
      </c>
      <c r="C5" s="550" t="s">
        <v>232</v>
      </c>
      <c r="D5" s="550" t="s">
        <v>233</v>
      </c>
      <c r="E5" s="47" t="s">
        <v>234</v>
      </c>
      <c r="F5" s="48" t="s">
        <v>235</v>
      </c>
      <c r="G5" s="47">
        <v>2</v>
      </c>
      <c r="H5" s="72">
        <f>'TABLA GENERAL'!D3</f>
        <v>35321</v>
      </c>
      <c r="I5" s="114">
        <v>70642</v>
      </c>
      <c r="J5" s="47">
        <v>0</v>
      </c>
      <c r="K5" s="60">
        <f>J5*H5</f>
        <v>0</v>
      </c>
      <c r="L5" s="47">
        <v>1</v>
      </c>
      <c r="M5" s="60">
        <f>L5*H5</f>
        <v>35321</v>
      </c>
      <c r="N5" s="47">
        <v>0</v>
      </c>
      <c r="O5" s="60">
        <f>N5*H5</f>
        <v>0</v>
      </c>
      <c r="P5" s="47">
        <v>0</v>
      </c>
      <c r="Q5" s="73">
        <f>P5*H5</f>
        <v>0</v>
      </c>
      <c r="R5" s="18">
        <f>P5+N5+L5+J5</f>
        <v>1</v>
      </c>
      <c r="S5" s="18">
        <f>Q5+O5+M5+K5</f>
        <v>35321</v>
      </c>
      <c r="U5" s="336">
        <f t="shared" ref="U5:U38" si="0">+J5/G5</f>
        <v>0</v>
      </c>
      <c r="V5" s="336">
        <f t="shared" ref="V5:V38" si="1">+L5/G5</f>
        <v>0.5</v>
      </c>
      <c r="W5" s="336">
        <f t="shared" ref="W5:W38" si="2">+N5/G5</f>
        <v>0</v>
      </c>
      <c r="X5" s="336">
        <f t="shared" ref="X5:X38" si="3">+P5/G5</f>
        <v>0</v>
      </c>
      <c r="Y5" s="338">
        <f>+R5/G5</f>
        <v>0.5</v>
      </c>
    </row>
    <row r="6" spans="1:25" ht="16.5" thickTop="1" thickBot="1" x14ac:dyDescent="0.3">
      <c r="A6" s="551"/>
      <c r="B6" s="551"/>
      <c r="C6" s="551"/>
      <c r="D6" s="551"/>
      <c r="E6" s="47" t="s">
        <v>236</v>
      </c>
      <c r="F6" s="32" t="s">
        <v>237</v>
      </c>
      <c r="G6" s="15">
        <v>2</v>
      </c>
      <c r="H6" s="59">
        <f>'TABLA GENERAL'!D4</f>
        <v>17579</v>
      </c>
      <c r="I6" s="115">
        <v>35158</v>
      </c>
      <c r="J6" s="15">
        <v>0</v>
      </c>
      <c r="K6" s="60">
        <f t="shared" ref="K6:K38" si="4">J6*H6</f>
        <v>0</v>
      </c>
      <c r="L6" s="15">
        <v>1</v>
      </c>
      <c r="M6" s="60">
        <f t="shared" ref="M6:M38" si="5">L6*H6</f>
        <v>17579</v>
      </c>
      <c r="N6" s="15">
        <v>0</v>
      </c>
      <c r="O6" s="60">
        <f t="shared" ref="O6:O38" si="6">N6*H6</f>
        <v>0</v>
      </c>
      <c r="P6" s="15">
        <v>0</v>
      </c>
      <c r="Q6" s="73">
        <f t="shared" ref="Q6:Q38" si="7">P6*H6</f>
        <v>0</v>
      </c>
      <c r="R6" s="18">
        <f t="shared" ref="R6:S38" si="8">P6+N6+L6+J6</f>
        <v>1</v>
      </c>
      <c r="S6" s="18">
        <f t="shared" si="8"/>
        <v>17579</v>
      </c>
      <c r="U6" s="336">
        <f t="shared" si="0"/>
        <v>0</v>
      </c>
      <c r="V6" s="336">
        <f t="shared" si="1"/>
        <v>0.5</v>
      </c>
      <c r="W6" s="336">
        <f t="shared" si="2"/>
        <v>0</v>
      </c>
      <c r="X6" s="336">
        <f t="shared" si="3"/>
        <v>0</v>
      </c>
      <c r="Y6" s="338">
        <f t="shared" ref="Y6:Y38" si="9">+R6/G6</f>
        <v>0.5</v>
      </c>
    </row>
    <row r="7" spans="1:25" ht="16.5" thickTop="1" thickBot="1" x14ac:dyDescent="0.3">
      <c r="A7" s="551"/>
      <c r="B7" s="551"/>
      <c r="C7" s="551"/>
      <c r="D7" s="551"/>
      <c r="E7" s="47" t="s">
        <v>238</v>
      </c>
      <c r="F7" s="32" t="s">
        <v>239</v>
      </c>
      <c r="G7" s="15">
        <v>2</v>
      </c>
      <c r="H7" s="59">
        <f>'TABLA GENERAL'!D5</f>
        <v>24779</v>
      </c>
      <c r="I7" s="115">
        <v>49558</v>
      </c>
      <c r="J7" s="15">
        <v>0</v>
      </c>
      <c r="K7" s="60">
        <f t="shared" si="4"/>
        <v>0</v>
      </c>
      <c r="L7" s="15">
        <v>1</v>
      </c>
      <c r="M7" s="60">
        <f t="shared" si="5"/>
        <v>24779</v>
      </c>
      <c r="N7" s="15">
        <v>0</v>
      </c>
      <c r="O7" s="60">
        <f t="shared" si="6"/>
        <v>0</v>
      </c>
      <c r="P7" s="15">
        <v>0</v>
      </c>
      <c r="Q7" s="73">
        <f t="shared" si="7"/>
        <v>0</v>
      </c>
      <c r="R7" s="18">
        <f t="shared" si="8"/>
        <v>1</v>
      </c>
      <c r="S7" s="18">
        <f t="shared" si="8"/>
        <v>24779</v>
      </c>
      <c r="U7" s="336">
        <f t="shared" si="0"/>
        <v>0</v>
      </c>
      <c r="V7" s="336">
        <f t="shared" si="1"/>
        <v>0.5</v>
      </c>
      <c r="W7" s="336">
        <f t="shared" si="2"/>
        <v>0</v>
      </c>
      <c r="X7" s="336">
        <f t="shared" si="3"/>
        <v>0</v>
      </c>
      <c r="Y7" s="338">
        <f t="shared" si="9"/>
        <v>0.5</v>
      </c>
    </row>
    <row r="8" spans="1:25" ht="16.5" thickTop="1" thickBot="1" x14ac:dyDescent="0.3">
      <c r="A8" s="551"/>
      <c r="B8" s="551"/>
      <c r="C8" s="551"/>
      <c r="D8" s="551"/>
      <c r="E8" s="47" t="s">
        <v>240</v>
      </c>
      <c r="F8" s="32" t="s">
        <v>241</v>
      </c>
      <c r="G8" s="15">
        <v>2</v>
      </c>
      <c r="H8" s="59">
        <f>'TABLA GENERAL'!D6</f>
        <v>22458</v>
      </c>
      <c r="I8" s="115">
        <v>44916</v>
      </c>
      <c r="J8" s="15">
        <v>0</v>
      </c>
      <c r="K8" s="60">
        <f t="shared" si="4"/>
        <v>0</v>
      </c>
      <c r="L8" s="15">
        <v>1</v>
      </c>
      <c r="M8" s="60">
        <f t="shared" si="5"/>
        <v>22458</v>
      </c>
      <c r="N8" s="15">
        <v>0</v>
      </c>
      <c r="O8" s="60">
        <f t="shared" si="6"/>
        <v>0</v>
      </c>
      <c r="P8" s="15">
        <v>0</v>
      </c>
      <c r="Q8" s="73">
        <f t="shared" si="7"/>
        <v>0</v>
      </c>
      <c r="R8" s="18">
        <f t="shared" si="8"/>
        <v>1</v>
      </c>
      <c r="S8" s="18">
        <f t="shared" si="8"/>
        <v>22458</v>
      </c>
      <c r="U8" s="336">
        <f t="shared" si="0"/>
        <v>0</v>
      </c>
      <c r="V8" s="336">
        <f t="shared" si="1"/>
        <v>0.5</v>
      </c>
      <c r="W8" s="336">
        <f t="shared" si="2"/>
        <v>0</v>
      </c>
      <c r="X8" s="336">
        <f t="shared" si="3"/>
        <v>0</v>
      </c>
      <c r="Y8" s="338">
        <f t="shared" si="9"/>
        <v>0.5</v>
      </c>
    </row>
    <row r="9" spans="1:25" ht="31.5" thickTop="1" thickBot="1" x14ac:dyDescent="0.3">
      <c r="A9" s="551"/>
      <c r="B9" s="551"/>
      <c r="C9" s="551"/>
      <c r="D9" s="551"/>
      <c r="E9" s="47" t="s">
        <v>242</v>
      </c>
      <c r="F9" s="32" t="s">
        <v>243</v>
      </c>
      <c r="G9" s="15">
        <v>2</v>
      </c>
      <c r="H9" s="59">
        <f>'TABLA GENERAL'!D7</f>
        <v>63048</v>
      </c>
      <c r="I9" s="115">
        <v>126096</v>
      </c>
      <c r="J9" s="15">
        <v>0</v>
      </c>
      <c r="K9" s="60">
        <f t="shared" si="4"/>
        <v>0</v>
      </c>
      <c r="L9" s="15">
        <v>1</v>
      </c>
      <c r="M9" s="60">
        <f t="shared" si="5"/>
        <v>63048</v>
      </c>
      <c r="N9" s="47">
        <v>0</v>
      </c>
      <c r="O9" s="60">
        <f t="shared" si="6"/>
        <v>0</v>
      </c>
      <c r="P9" s="47">
        <v>0</v>
      </c>
      <c r="Q9" s="73">
        <f t="shared" si="7"/>
        <v>0</v>
      </c>
      <c r="R9" s="18">
        <f t="shared" si="8"/>
        <v>1</v>
      </c>
      <c r="S9" s="18">
        <f t="shared" si="8"/>
        <v>63048</v>
      </c>
      <c r="U9" s="336">
        <f t="shared" si="0"/>
        <v>0</v>
      </c>
      <c r="V9" s="336">
        <f t="shared" si="1"/>
        <v>0.5</v>
      </c>
      <c r="W9" s="336">
        <f t="shared" si="2"/>
        <v>0</v>
      </c>
      <c r="X9" s="336">
        <f t="shared" si="3"/>
        <v>0</v>
      </c>
      <c r="Y9" s="338">
        <f t="shared" si="9"/>
        <v>0.5</v>
      </c>
    </row>
    <row r="10" spans="1:25" ht="31.5" thickTop="1" thickBot="1" x14ac:dyDescent="0.3">
      <c r="A10" s="551"/>
      <c r="B10" s="551"/>
      <c r="C10" s="551"/>
      <c r="D10" s="551"/>
      <c r="E10" s="47" t="s">
        <v>244</v>
      </c>
      <c r="F10" s="32" t="s">
        <v>245</v>
      </c>
      <c r="G10" s="15">
        <v>2</v>
      </c>
      <c r="H10" s="59">
        <f>'TABLA GENERAL'!D8</f>
        <v>81814</v>
      </c>
      <c r="I10" s="115">
        <v>163628</v>
      </c>
      <c r="J10" s="15">
        <v>0</v>
      </c>
      <c r="K10" s="60">
        <f t="shared" si="4"/>
        <v>0</v>
      </c>
      <c r="L10" s="15">
        <v>1</v>
      </c>
      <c r="M10" s="60">
        <f t="shared" si="5"/>
        <v>81814</v>
      </c>
      <c r="N10" s="15">
        <v>0</v>
      </c>
      <c r="O10" s="60">
        <f t="shared" si="6"/>
        <v>0</v>
      </c>
      <c r="P10" s="15">
        <v>0</v>
      </c>
      <c r="Q10" s="73">
        <f t="shared" si="7"/>
        <v>0</v>
      </c>
      <c r="R10" s="18">
        <f t="shared" si="8"/>
        <v>1</v>
      </c>
      <c r="S10" s="18">
        <f t="shared" si="8"/>
        <v>81814</v>
      </c>
      <c r="U10" s="336">
        <f t="shared" si="0"/>
        <v>0</v>
      </c>
      <c r="V10" s="336">
        <f t="shared" si="1"/>
        <v>0.5</v>
      </c>
      <c r="W10" s="336">
        <f t="shared" si="2"/>
        <v>0</v>
      </c>
      <c r="X10" s="336">
        <f t="shared" si="3"/>
        <v>0</v>
      </c>
      <c r="Y10" s="338">
        <f t="shared" si="9"/>
        <v>0.5</v>
      </c>
    </row>
    <row r="11" spans="1:25" ht="16.5" thickTop="1" thickBot="1" x14ac:dyDescent="0.3">
      <c r="A11" s="551"/>
      <c r="B11" s="551"/>
      <c r="C11" s="551"/>
      <c r="D11" s="551"/>
      <c r="E11" s="47" t="s">
        <v>246</v>
      </c>
      <c r="F11" s="32" t="s">
        <v>247</v>
      </c>
      <c r="G11" s="15">
        <v>16</v>
      </c>
      <c r="H11" s="59">
        <f>'TABLA GENERAL'!D9</f>
        <v>141</v>
      </c>
      <c r="I11" s="115">
        <v>2256</v>
      </c>
      <c r="J11" s="15">
        <v>10</v>
      </c>
      <c r="K11" s="60">
        <f t="shared" si="4"/>
        <v>1410</v>
      </c>
      <c r="L11" s="15">
        <v>0</v>
      </c>
      <c r="M11" s="60">
        <f t="shared" si="5"/>
        <v>0</v>
      </c>
      <c r="N11" s="15">
        <v>0</v>
      </c>
      <c r="O11" s="60">
        <f t="shared" si="6"/>
        <v>0</v>
      </c>
      <c r="P11" s="15">
        <v>0</v>
      </c>
      <c r="Q11" s="73">
        <f t="shared" si="7"/>
        <v>0</v>
      </c>
      <c r="R11" s="18">
        <f t="shared" si="8"/>
        <v>10</v>
      </c>
      <c r="S11" s="18">
        <f t="shared" si="8"/>
        <v>1410</v>
      </c>
      <c r="U11" s="336">
        <f t="shared" si="0"/>
        <v>0.625</v>
      </c>
      <c r="V11" s="336">
        <f t="shared" si="1"/>
        <v>0</v>
      </c>
      <c r="W11" s="336">
        <f t="shared" si="2"/>
        <v>0</v>
      </c>
      <c r="X11" s="336">
        <f t="shared" si="3"/>
        <v>0</v>
      </c>
      <c r="Y11" s="338">
        <f t="shared" si="9"/>
        <v>0.625</v>
      </c>
    </row>
    <row r="12" spans="1:25" ht="16.5" thickTop="1" thickBot="1" x14ac:dyDescent="0.3">
      <c r="A12" s="551"/>
      <c r="B12" s="551"/>
      <c r="C12" s="551"/>
      <c r="D12" s="551"/>
      <c r="E12" s="47" t="s">
        <v>248</v>
      </c>
      <c r="F12" s="32" t="s">
        <v>249</v>
      </c>
      <c r="G12" s="15">
        <v>16</v>
      </c>
      <c r="H12" s="59">
        <f>'TABLA GENERAL'!D10</f>
        <v>6243</v>
      </c>
      <c r="I12" s="115">
        <v>99888</v>
      </c>
      <c r="J12" s="15">
        <v>10</v>
      </c>
      <c r="K12" s="60">
        <f t="shared" si="4"/>
        <v>62430</v>
      </c>
      <c r="L12" s="15">
        <v>2</v>
      </c>
      <c r="M12" s="60">
        <f t="shared" si="5"/>
        <v>12486</v>
      </c>
      <c r="N12" s="15">
        <v>0</v>
      </c>
      <c r="O12" s="60">
        <f t="shared" si="6"/>
        <v>0</v>
      </c>
      <c r="P12" s="15">
        <v>0</v>
      </c>
      <c r="Q12" s="73">
        <f t="shared" si="7"/>
        <v>0</v>
      </c>
      <c r="R12" s="18">
        <f t="shared" si="8"/>
        <v>12</v>
      </c>
      <c r="S12" s="18">
        <f t="shared" si="8"/>
        <v>74916</v>
      </c>
      <c r="U12" s="336">
        <f t="shared" si="0"/>
        <v>0.625</v>
      </c>
      <c r="V12" s="336">
        <f t="shared" si="1"/>
        <v>0.125</v>
      </c>
      <c r="W12" s="336">
        <f t="shared" si="2"/>
        <v>0</v>
      </c>
      <c r="X12" s="336">
        <f t="shared" si="3"/>
        <v>0</v>
      </c>
      <c r="Y12" s="338">
        <f t="shared" si="9"/>
        <v>0.75</v>
      </c>
    </row>
    <row r="13" spans="1:25" ht="16.5" thickTop="1" thickBot="1" x14ac:dyDescent="0.3">
      <c r="A13" s="551"/>
      <c r="B13" s="551"/>
      <c r="C13" s="551"/>
      <c r="D13" s="551"/>
      <c r="E13" s="47" t="s">
        <v>250</v>
      </c>
      <c r="F13" s="32" t="s">
        <v>251</v>
      </c>
      <c r="G13" s="15">
        <v>10</v>
      </c>
      <c r="H13" s="59">
        <f>'TABLA GENERAL'!D11</f>
        <v>6877</v>
      </c>
      <c r="I13" s="115">
        <v>68770</v>
      </c>
      <c r="J13" s="15">
        <v>10</v>
      </c>
      <c r="K13" s="60">
        <f t="shared" si="4"/>
        <v>68770</v>
      </c>
      <c r="L13" s="15">
        <v>0</v>
      </c>
      <c r="M13" s="60">
        <f t="shared" si="5"/>
        <v>0</v>
      </c>
      <c r="N13" s="47">
        <v>0</v>
      </c>
      <c r="O13" s="60">
        <f t="shared" si="6"/>
        <v>0</v>
      </c>
      <c r="P13" s="47">
        <v>0</v>
      </c>
      <c r="Q13" s="73">
        <f t="shared" si="7"/>
        <v>0</v>
      </c>
      <c r="R13" s="18">
        <f t="shared" si="8"/>
        <v>10</v>
      </c>
      <c r="S13" s="18">
        <f t="shared" si="8"/>
        <v>68770</v>
      </c>
      <c r="U13" s="336">
        <f t="shared" si="0"/>
        <v>1</v>
      </c>
      <c r="V13" s="336">
        <f t="shared" si="1"/>
        <v>0</v>
      </c>
      <c r="W13" s="336">
        <f t="shared" si="2"/>
        <v>0</v>
      </c>
      <c r="X13" s="336">
        <f t="shared" si="3"/>
        <v>0</v>
      </c>
      <c r="Y13" s="338">
        <f t="shared" si="9"/>
        <v>1</v>
      </c>
    </row>
    <row r="14" spans="1:25" ht="16.5" thickTop="1" thickBot="1" x14ac:dyDescent="0.3">
      <c r="A14" s="551"/>
      <c r="B14" s="551"/>
      <c r="C14" s="551"/>
      <c r="D14" s="551"/>
      <c r="E14" s="47" t="s">
        <v>252</v>
      </c>
      <c r="F14" s="32" t="s">
        <v>253</v>
      </c>
      <c r="G14" s="15">
        <v>2</v>
      </c>
      <c r="H14" s="59">
        <f>'TABLA GENERAL'!D16</f>
        <v>27035</v>
      </c>
      <c r="I14" s="115">
        <v>54070</v>
      </c>
      <c r="J14" s="15">
        <v>1</v>
      </c>
      <c r="K14" s="60">
        <f t="shared" si="4"/>
        <v>27035</v>
      </c>
      <c r="L14" s="15">
        <v>0</v>
      </c>
      <c r="M14" s="60">
        <f t="shared" si="5"/>
        <v>0</v>
      </c>
      <c r="N14" s="15">
        <v>0</v>
      </c>
      <c r="O14" s="60">
        <f t="shared" si="6"/>
        <v>0</v>
      </c>
      <c r="P14" s="15">
        <v>0</v>
      </c>
      <c r="Q14" s="73">
        <f t="shared" si="7"/>
        <v>0</v>
      </c>
      <c r="R14" s="18">
        <f t="shared" si="8"/>
        <v>1</v>
      </c>
      <c r="S14" s="18">
        <f t="shared" si="8"/>
        <v>27035</v>
      </c>
      <c r="U14" s="336">
        <f t="shared" si="0"/>
        <v>0.5</v>
      </c>
      <c r="V14" s="336">
        <f t="shared" si="1"/>
        <v>0</v>
      </c>
      <c r="W14" s="336">
        <f t="shared" si="2"/>
        <v>0</v>
      </c>
      <c r="X14" s="336">
        <f t="shared" si="3"/>
        <v>0</v>
      </c>
      <c r="Y14" s="338">
        <f t="shared" si="9"/>
        <v>0.5</v>
      </c>
    </row>
    <row r="15" spans="1:25" ht="16.5" thickTop="1" thickBot="1" x14ac:dyDescent="0.3">
      <c r="A15" s="551"/>
      <c r="B15" s="551"/>
      <c r="C15" s="551"/>
      <c r="D15" s="552"/>
      <c r="E15" s="47" t="s">
        <v>254</v>
      </c>
      <c r="F15" s="32" t="s">
        <v>255</v>
      </c>
      <c r="G15" s="15">
        <v>4</v>
      </c>
      <c r="H15" s="59">
        <f>'TABLA GENERAL'!D17</f>
        <v>421</v>
      </c>
      <c r="I15" s="115">
        <v>1684</v>
      </c>
      <c r="J15" s="15">
        <v>1</v>
      </c>
      <c r="K15" s="60">
        <f t="shared" si="4"/>
        <v>421</v>
      </c>
      <c r="L15" s="15">
        <v>0</v>
      </c>
      <c r="M15" s="60">
        <f t="shared" si="5"/>
        <v>0</v>
      </c>
      <c r="N15" s="15">
        <v>0</v>
      </c>
      <c r="O15" s="60">
        <f t="shared" si="6"/>
        <v>0</v>
      </c>
      <c r="P15" s="15">
        <v>0</v>
      </c>
      <c r="Q15" s="73">
        <f t="shared" si="7"/>
        <v>0</v>
      </c>
      <c r="R15" s="18">
        <f t="shared" si="8"/>
        <v>1</v>
      </c>
      <c r="S15" s="18">
        <f t="shared" si="8"/>
        <v>421</v>
      </c>
      <c r="U15" s="336">
        <f t="shared" si="0"/>
        <v>0.25</v>
      </c>
      <c r="V15" s="336">
        <f t="shared" si="1"/>
        <v>0</v>
      </c>
      <c r="W15" s="336">
        <f t="shared" si="2"/>
        <v>0</v>
      </c>
      <c r="X15" s="336">
        <f t="shared" si="3"/>
        <v>0</v>
      </c>
      <c r="Y15" s="338">
        <f t="shared" si="9"/>
        <v>0.25</v>
      </c>
    </row>
    <row r="16" spans="1:25" ht="16.5" customHeight="1" thickTop="1" thickBot="1" x14ac:dyDescent="0.3">
      <c r="A16" s="551"/>
      <c r="B16" s="551"/>
      <c r="C16" s="551"/>
      <c r="D16" s="550" t="s">
        <v>256</v>
      </c>
      <c r="E16" s="47" t="s">
        <v>257</v>
      </c>
      <c r="F16" s="32" t="s">
        <v>258</v>
      </c>
      <c r="G16" s="15">
        <v>2</v>
      </c>
      <c r="H16" s="59">
        <f>'TABLA GENERAL'!D19</f>
        <v>27984</v>
      </c>
      <c r="I16" s="115">
        <v>55968</v>
      </c>
      <c r="J16" s="15">
        <v>0</v>
      </c>
      <c r="K16" s="60">
        <f t="shared" si="4"/>
        <v>0</v>
      </c>
      <c r="L16" s="15">
        <v>1</v>
      </c>
      <c r="M16" s="60">
        <f t="shared" si="5"/>
        <v>27984</v>
      </c>
      <c r="N16" s="47">
        <v>0</v>
      </c>
      <c r="O16" s="60">
        <f t="shared" si="6"/>
        <v>0</v>
      </c>
      <c r="P16" s="47">
        <v>0</v>
      </c>
      <c r="Q16" s="73">
        <f t="shared" si="7"/>
        <v>0</v>
      </c>
      <c r="R16" s="18">
        <f t="shared" si="8"/>
        <v>1</v>
      </c>
      <c r="S16" s="18">
        <f t="shared" si="8"/>
        <v>27984</v>
      </c>
      <c r="U16" s="336">
        <f t="shared" si="0"/>
        <v>0</v>
      </c>
      <c r="V16" s="336">
        <f t="shared" si="1"/>
        <v>0.5</v>
      </c>
      <c r="W16" s="336">
        <f t="shared" si="2"/>
        <v>0</v>
      </c>
      <c r="X16" s="336">
        <f t="shared" si="3"/>
        <v>0</v>
      </c>
      <c r="Y16" s="338">
        <f t="shared" si="9"/>
        <v>0.5</v>
      </c>
    </row>
    <row r="17" spans="1:25" ht="16.5" customHeight="1" thickTop="1" thickBot="1" x14ac:dyDescent="0.3">
      <c r="A17" s="551"/>
      <c r="B17" s="551"/>
      <c r="C17" s="551"/>
      <c r="D17" s="551"/>
      <c r="E17" s="47" t="s">
        <v>259</v>
      </c>
      <c r="F17" s="32" t="s">
        <v>260</v>
      </c>
      <c r="G17" s="15">
        <v>14</v>
      </c>
      <c r="H17" s="59">
        <f>'TABLA GENERAL'!D20</f>
        <v>1655</v>
      </c>
      <c r="I17" s="115">
        <v>23170</v>
      </c>
      <c r="J17" s="15">
        <v>14</v>
      </c>
      <c r="K17" s="60">
        <f t="shared" si="4"/>
        <v>23170</v>
      </c>
      <c r="L17" s="15">
        <v>0</v>
      </c>
      <c r="M17" s="60">
        <f t="shared" si="5"/>
        <v>0</v>
      </c>
      <c r="N17" s="15">
        <v>0</v>
      </c>
      <c r="O17" s="60">
        <f t="shared" si="6"/>
        <v>0</v>
      </c>
      <c r="P17" s="15">
        <v>0</v>
      </c>
      <c r="Q17" s="73">
        <f t="shared" si="7"/>
        <v>0</v>
      </c>
      <c r="R17" s="18">
        <f t="shared" si="8"/>
        <v>14</v>
      </c>
      <c r="S17" s="18">
        <f t="shared" si="8"/>
        <v>23170</v>
      </c>
      <c r="U17" s="336">
        <f t="shared" si="0"/>
        <v>1</v>
      </c>
      <c r="V17" s="336">
        <f t="shared" si="1"/>
        <v>0</v>
      </c>
      <c r="W17" s="336">
        <f t="shared" si="2"/>
        <v>0</v>
      </c>
      <c r="X17" s="336">
        <f t="shared" si="3"/>
        <v>0</v>
      </c>
      <c r="Y17" s="338">
        <f t="shared" si="9"/>
        <v>1</v>
      </c>
    </row>
    <row r="18" spans="1:25" ht="16.5" customHeight="1" thickTop="1" thickBot="1" x14ac:dyDescent="0.3">
      <c r="A18" s="551"/>
      <c r="B18" s="551"/>
      <c r="C18" s="551"/>
      <c r="D18" s="551"/>
      <c r="E18" s="47" t="s">
        <v>261</v>
      </c>
      <c r="F18" s="32" t="s">
        <v>262</v>
      </c>
      <c r="G18" s="15">
        <v>2</v>
      </c>
      <c r="H18" s="59">
        <f>'TABLA GENERAL'!D21</f>
        <v>11477</v>
      </c>
      <c r="I18" s="115">
        <v>22954</v>
      </c>
      <c r="J18" s="15">
        <v>1</v>
      </c>
      <c r="K18" s="60">
        <f t="shared" si="4"/>
        <v>11477</v>
      </c>
      <c r="L18" s="15">
        <v>0</v>
      </c>
      <c r="M18" s="60">
        <f t="shared" si="5"/>
        <v>0</v>
      </c>
      <c r="N18" s="15">
        <v>0</v>
      </c>
      <c r="O18" s="60">
        <f t="shared" si="6"/>
        <v>0</v>
      </c>
      <c r="P18" s="15">
        <v>0</v>
      </c>
      <c r="Q18" s="73">
        <f t="shared" si="7"/>
        <v>0</v>
      </c>
      <c r="R18" s="18">
        <f t="shared" si="8"/>
        <v>1</v>
      </c>
      <c r="S18" s="18">
        <f t="shared" si="8"/>
        <v>11477</v>
      </c>
      <c r="U18" s="336">
        <f t="shared" si="0"/>
        <v>0.5</v>
      </c>
      <c r="V18" s="336">
        <f t="shared" si="1"/>
        <v>0</v>
      </c>
      <c r="W18" s="336">
        <f t="shared" si="2"/>
        <v>0</v>
      </c>
      <c r="X18" s="336">
        <f t="shared" si="3"/>
        <v>0</v>
      </c>
      <c r="Y18" s="338">
        <f t="shared" si="9"/>
        <v>0.5</v>
      </c>
    </row>
    <row r="19" spans="1:25" ht="16.5" customHeight="1" thickTop="1" thickBot="1" x14ac:dyDescent="0.3">
      <c r="A19" s="551"/>
      <c r="B19" s="551"/>
      <c r="C19" s="551"/>
      <c r="D19" s="551"/>
      <c r="E19" s="47" t="s">
        <v>263</v>
      </c>
      <c r="F19" s="32" t="s">
        <v>264</v>
      </c>
      <c r="G19" s="15">
        <v>1</v>
      </c>
      <c r="H19" s="59">
        <f>'TABLA GENERAL'!D22</f>
        <v>44356</v>
      </c>
      <c r="I19" s="115">
        <v>44356</v>
      </c>
      <c r="J19" s="15">
        <v>0</v>
      </c>
      <c r="K19" s="60">
        <f t="shared" si="4"/>
        <v>0</v>
      </c>
      <c r="L19" s="15">
        <v>1</v>
      </c>
      <c r="M19" s="60">
        <f t="shared" si="5"/>
        <v>44356</v>
      </c>
      <c r="N19" s="15">
        <v>0</v>
      </c>
      <c r="O19" s="60">
        <f t="shared" si="6"/>
        <v>0</v>
      </c>
      <c r="P19" s="15">
        <v>0</v>
      </c>
      <c r="Q19" s="73">
        <f t="shared" si="7"/>
        <v>0</v>
      </c>
      <c r="R19" s="18">
        <f t="shared" si="8"/>
        <v>1</v>
      </c>
      <c r="S19" s="18">
        <f t="shared" si="8"/>
        <v>44356</v>
      </c>
      <c r="U19" s="336">
        <f t="shared" si="0"/>
        <v>0</v>
      </c>
      <c r="V19" s="336">
        <f t="shared" si="1"/>
        <v>1</v>
      </c>
      <c r="W19" s="336">
        <f t="shared" si="2"/>
        <v>0</v>
      </c>
      <c r="X19" s="336">
        <f t="shared" si="3"/>
        <v>0</v>
      </c>
      <c r="Y19" s="338">
        <f t="shared" si="9"/>
        <v>1</v>
      </c>
    </row>
    <row r="20" spans="1:25" ht="16.5" customHeight="1" thickTop="1" thickBot="1" x14ac:dyDescent="0.3">
      <c r="A20" s="551"/>
      <c r="B20" s="551"/>
      <c r="C20" s="551"/>
      <c r="D20" s="551"/>
      <c r="E20" s="47" t="s">
        <v>265</v>
      </c>
      <c r="F20" s="32" t="s">
        <v>266</v>
      </c>
      <c r="G20" s="15">
        <v>36</v>
      </c>
      <c r="H20" s="59">
        <f>'TABLA GENERAL'!D23</f>
        <v>107</v>
      </c>
      <c r="I20" s="115">
        <v>3852</v>
      </c>
      <c r="J20" s="15">
        <v>10</v>
      </c>
      <c r="K20" s="60">
        <f t="shared" si="4"/>
        <v>1070</v>
      </c>
      <c r="L20" s="15">
        <v>2</v>
      </c>
      <c r="M20" s="60">
        <f t="shared" si="5"/>
        <v>214</v>
      </c>
      <c r="N20" s="47">
        <v>0</v>
      </c>
      <c r="O20" s="60">
        <f t="shared" si="6"/>
        <v>0</v>
      </c>
      <c r="P20" s="47">
        <v>0</v>
      </c>
      <c r="Q20" s="73">
        <f t="shared" si="7"/>
        <v>0</v>
      </c>
      <c r="R20" s="18">
        <f t="shared" si="8"/>
        <v>12</v>
      </c>
      <c r="S20" s="18">
        <f t="shared" si="8"/>
        <v>1284</v>
      </c>
      <c r="U20" s="336">
        <f t="shared" si="0"/>
        <v>0.27777777777777779</v>
      </c>
      <c r="V20" s="336">
        <f t="shared" si="1"/>
        <v>5.5555555555555552E-2</v>
      </c>
      <c r="W20" s="336">
        <f t="shared" si="2"/>
        <v>0</v>
      </c>
      <c r="X20" s="336">
        <f t="shared" si="3"/>
        <v>0</v>
      </c>
      <c r="Y20" s="338">
        <f t="shared" si="9"/>
        <v>0.33333333333333331</v>
      </c>
    </row>
    <row r="21" spans="1:25" ht="16.5" customHeight="1" thickTop="1" thickBot="1" x14ac:dyDescent="0.3">
      <c r="A21" s="551"/>
      <c r="B21" s="551"/>
      <c r="C21" s="551"/>
      <c r="D21" s="551"/>
      <c r="E21" s="47" t="s">
        <v>267</v>
      </c>
      <c r="F21" s="32" t="s">
        <v>268</v>
      </c>
      <c r="G21" s="15">
        <v>13</v>
      </c>
      <c r="H21" s="59">
        <f>'TABLA GENERAL'!D24</f>
        <v>1484</v>
      </c>
      <c r="I21" s="115">
        <v>19292</v>
      </c>
      <c r="J21" s="15">
        <v>10</v>
      </c>
      <c r="K21" s="60">
        <f t="shared" si="4"/>
        <v>14840</v>
      </c>
      <c r="L21" s="15">
        <v>0</v>
      </c>
      <c r="M21" s="60">
        <f t="shared" si="5"/>
        <v>0</v>
      </c>
      <c r="N21" s="15">
        <v>0</v>
      </c>
      <c r="O21" s="60">
        <f t="shared" si="6"/>
        <v>0</v>
      </c>
      <c r="P21" s="15">
        <v>0</v>
      </c>
      <c r="Q21" s="73">
        <f t="shared" si="7"/>
        <v>0</v>
      </c>
      <c r="R21" s="18">
        <f t="shared" si="8"/>
        <v>10</v>
      </c>
      <c r="S21" s="18">
        <f t="shared" si="8"/>
        <v>14840</v>
      </c>
      <c r="U21" s="336">
        <f t="shared" si="0"/>
        <v>0.76923076923076927</v>
      </c>
      <c r="V21" s="336">
        <f t="shared" si="1"/>
        <v>0</v>
      </c>
      <c r="W21" s="336">
        <f t="shared" si="2"/>
        <v>0</v>
      </c>
      <c r="X21" s="336">
        <f t="shared" si="3"/>
        <v>0</v>
      </c>
      <c r="Y21" s="338">
        <f t="shared" si="9"/>
        <v>0.76923076923076927</v>
      </c>
    </row>
    <row r="22" spans="1:25" ht="16.5" customHeight="1" thickTop="1" thickBot="1" x14ac:dyDescent="0.3">
      <c r="A22" s="551"/>
      <c r="B22" s="551"/>
      <c r="C22" s="552"/>
      <c r="D22" s="552"/>
      <c r="E22" s="47" t="s">
        <v>267</v>
      </c>
      <c r="F22" s="32" t="s">
        <v>269</v>
      </c>
      <c r="G22" s="15">
        <v>2</v>
      </c>
      <c r="H22" s="59">
        <f>'TABLA GENERAL'!D25</f>
        <v>312143</v>
      </c>
      <c r="I22" s="115">
        <v>624286</v>
      </c>
      <c r="J22" s="15">
        <v>1</v>
      </c>
      <c r="K22" s="60">
        <f t="shared" si="4"/>
        <v>312143</v>
      </c>
      <c r="L22" s="15">
        <v>1</v>
      </c>
      <c r="M22" s="60">
        <f t="shared" si="5"/>
        <v>312143</v>
      </c>
      <c r="N22" s="15">
        <v>0</v>
      </c>
      <c r="O22" s="60">
        <f t="shared" si="6"/>
        <v>0</v>
      </c>
      <c r="P22" s="15">
        <v>0</v>
      </c>
      <c r="Q22" s="73">
        <f t="shared" si="7"/>
        <v>0</v>
      </c>
      <c r="R22" s="18">
        <f t="shared" si="8"/>
        <v>2</v>
      </c>
      <c r="S22" s="18">
        <f t="shared" si="8"/>
        <v>624286</v>
      </c>
      <c r="U22" s="336">
        <f t="shared" si="0"/>
        <v>0.5</v>
      </c>
      <c r="V22" s="336">
        <f t="shared" si="1"/>
        <v>0.5</v>
      </c>
      <c r="W22" s="336">
        <f t="shared" si="2"/>
        <v>0</v>
      </c>
      <c r="X22" s="336">
        <f t="shared" si="3"/>
        <v>0</v>
      </c>
      <c r="Y22" s="338">
        <f t="shared" si="9"/>
        <v>1</v>
      </c>
    </row>
    <row r="23" spans="1:25" ht="29.25" customHeight="1" thickTop="1" thickBot="1" x14ac:dyDescent="0.3">
      <c r="A23" s="551"/>
      <c r="B23" s="551"/>
      <c r="C23" s="550" t="s">
        <v>270</v>
      </c>
      <c r="D23" s="652" t="s">
        <v>271</v>
      </c>
      <c r="E23" s="47" t="s">
        <v>272</v>
      </c>
      <c r="F23" s="32" t="s">
        <v>273</v>
      </c>
      <c r="G23" s="15">
        <v>1</v>
      </c>
      <c r="H23" s="59">
        <f>'TABLA GENERAL'!D27</f>
        <v>68138</v>
      </c>
      <c r="I23" s="115">
        <v>68138</v>
      </c>
      <c r="J23" s="15">
        <v>1</v>
      </c>
      <c r="K23" s="60">
        <f t="shared" si="4"/>
        <v>68138</v>
      </c>
      <c r="L23" s="15">
        <v>0</v>
      </c>
      <c r="M23" s="60">
        <f t="shared" si="5"/>
        <v>0</v>
      </c>
      <c r="N23" s="47">
        <v>0</v>
      </c>
      <c r="O23" s="60">
        <f t="shared" si="6"/>
        <v>0</v>
      </c>
      <c r="P23" s="47">
        <v>0</v>
      </c>
      <c r="Q23" s="73">
        <f t="shared" si="7"/>
        <v>0</v>
      </c>
      <c r="R23" s="18">
        <f t="shared" si="8"/>
        <v>1</v>
      </c>
      <c r="S23" s="18">
        <f t="shared" si="8"/>
        <v>68138</v>
      </c>
      <c r="U23" s="336">
        <f t="shared" si="0"/>
        <v>1</v>
      </c>
      <c r="V23" s="336">
        <f t="shared" si="1"/>
        <v>0</v>
      </c>
      <c r="W23" s="336">
        <f t="shared" si="2"/>
        <v>0</v>
      </c>
      <c r="X23" s="336">
        <f t="shared" si="3"/>
        <v>0</v>
      </c>
      <c r="Y23" s="338">
        <f t="shared" si="9"/>
        <v>1</v>
      </c>
    </row>
    <row r="24" spans="1:25" ht="26.25" customHeight="1" thickTop="1" thickBot="1" x14ac:dyDescent="0.3">
      <c r="A24" s="551"/>
      <c r="B24" s="551"/>
      <c r="C24" s="551"/>
      <c r="D24" s="653"/>
      <c r="E24" s="47" t="s">
        <v>274</v>
      </c>
      <c r="F24" s="257" t="s">
        <v>275</v>
      </c>
      <c r="G24" s="15">
        <v>11</v>
      </c>
      <c r="H24" s="59">
        <f>'TABLA GENERAL'!D28</f>
        <v>47779</v>
      </c>
      <c r="I24" s="115">
        <v>525569</v>
      </c>
      <c r="J24" s="15">
        <v>2</v>
      </c>
      <c r="K24" s="60">
        <f t="shared" si="4"/>
        <v>95558</v>
      </c>
      <c r="L24" s="15">
        <v>7</v>
      </c>
      <c r="M24" s="60">
        <f t="shared" si="5"/>
        <v>334453</v>
      </c>
      <c r="N24" s="15">
        <v>0</v>
      </c>
      <c r="O24" s="60">
        <f t="shared" si="6"/>
        <v>0</v>
      </c>
      <c r="P24" s="15">
        <v>0</v>
      </c>
      <c r="Q24" s="73">
        <f t="shared" si="7"/>
        <v>0</v>
      </c>
      <c r="R24" s="18">
        <f t="shared" si="8"/>
        <v>9</v>
      </c>
      <c r="S24" s="18">
        <f t="shared" si="8"/>
        <v>430011</v>
      </c>
      <c r="U24" s="336">
        <f t="shared" si="0"/>
        <v>0.18181818181818182</v>
      </c>
      <c r="V24" s="336">
        <f t="shared" si="1"/>
        <v>0.63636363636363635</v>
      </c>
      <c r="W24" s="336">
        <f t="shared" si="2"/>
        <v>0</v>
      </c>
      <c r="X24" s="336">
        <f t="shared" si="3"/>
        <v>0</v>
      </c>
      <c r="Y24" s="338">
        <f t="shared" si="9"/>
        <v>0.81818181818181823</v>
      </c>
    </row>
    <row r="25" spans="1:25" ht="16.5" thickTop="1" thickBot="1" x14ac:dyDescent="0.3">
      <c r="A25" s="551"/>
      <c r="B25" s="551"/>
      <c r="C25" s="551"/>
      <c r="D25" s="653"/>
      <c r="E25" s="47" t="s">
        <v>276</v>
      </c>
      <c r="F25" s="32" t="s">
        <v>277</v>
      </c>
      <c r="G25" s="15">
        <v>4</v>
      </c>
      <c r="H25" s="59">
        <f>'TABLA GENERAL'!D29</f>
        <v>40845</v>
      </c>
      <c r="I25" s="115">
        <v>163380</v>
      </c>
      <c r="J25" s="15">
        <v>0</v>
      </c>
      <c r="K25" s="60">
        <f t="shared" si="4"/>
        <v>0</v>
      </c>
      <c r="L25" s="15">
        <v>4</v>
      </c>
      <c r="M25" s="60">
        <f t="shared" si="5"/>
        <v>163380</v>
      </c>
      <c r="N25" s="15">
        <v>0</v>
      </c>
      <c r="O25" s="60">
        <f t="shared" si="6"/>
        <v>0</v>
      </c>
      <c r="P25" s="15">
        <v>0</v>
      </c>
      <c r="Q25" s="73">
        <f t="shared" si="7"/>
        <v>0</v>
      </c>
      <c r="R25" s="18">
        <f t="shared" si="8"/>
        <v>4</v>
      </c>
      <c r="S25" s="18">
        <f t="shared" si="8"/>
        <v>163380</v>
      </c>
      <c r="U25" s="336">
        <f t="shared" si="0"/>
        <v>0</v>
      </c>
      <c r="V25" s="336">
        <f t="shared" si="1"/>
        <v>1</v>
      </c>
      <c r="W25" s="336">
        <f t="shared" si="2"/>
        <v>0</v>
      </c>
      <c r="X25" s="336">
        <f t="shared" si="3"/>
        <v>0</v>
      </c>
      <c r="Y25" s="338">
        <f t="shared" si="9"/>
        <v>1</v>
      </c>
    </row>
    <row r="26" spans="1:25" ht="31.5" thickTop="1" thickBot="1" x14ac:dyDescent="0.3">
      <c r="A26" s="551"/>
      <c r="B26" s="551"/>
      <c r="C26" s="551"/>
      <c r="D26" s="654"/>
      <c r="E26" s="47" t="s">
        <v>278</v>
      </c>
      <c r="F26" s="32" t="s">
        <v>279</v>
      </c>
      <c r="G26" s="15">
        <v>152</v>
      </c>
      <c r="H26" s="59">
        <f>'TABLA GENERAL'!D30</f>
        <v>16636</v>
      </c>
      <c r="I26" s="115">
        <v>2528672</v>
      </c>
      <c r="J26" s="15">
        <v>13</v>
      </c>
      <c r="K26" s="60">
        <f t="shared" si="4"/>
        <v>216268</v>
      </c>
      <c r="L26" s="15">
        <v>0</v>
      </c>
      <c r="M26" s="60">
        <f t="shared" si="5"/>
        <v>0</v>
      </c>
      <c r="N26" s="15">
        <v>0</v>
      </c>
      <c r="O26" s="60">
        <f t="shared" si="6"/>
        <v>0</v>
      </c>
      <c r="P26" s="15">
        <v>0</v>
      </c>
      <c r="Q26" s="73">
        <f t="shared" si="7"/>
        <v>0</v>
      </c>
      <c r="R26" s="18">
        <f t="shared" si="8"/>
        <v>13</v>
      </c>
      <c r="S26" s="18">
        <f t="shared" si="8"/>
        <v>216268</v>
      </c>
      <c r="U26" s="336">
        <f t="shared" si="0"/>
        <v>8.5526315789473686E-2</v>
      </c>
      <c r="V26" s="336">
        <f t="shared" si="1"/>
        <v>0</v>
      </c>
      <c r="W26" s="336">
        <f t="shared" si="2"/>
        <v>0</v>
      </c>
      <c r="X26" s="336">
        <f t="shared" si="3"/>
        <v>0</v>
      </c>
      <c r="Y26" s="338">
        <f t="shared" si="9"/>
        <v>8.5526315789473686E-2</v>
      </c>
    </row>
    <row r="27" spans="1:25" ht="19.5" customHeight="1" thickTop="1" thickBot="1" x14ac:dyDescent="0.3">
      <c r="A27" s="551"/>
      <c r="B27" s="551"/>
      <c r="C27" s="551"/>
      <c r="D27" s="655" t="s">
        <v>280</v>
      </c>
      <c r="E27" s="47" t="s">
        <v>281</v>
      </c>
      <c r="F27" s="32" t="s">
        <v>282</v>
      </c>
      <c r="G27" s="15">
        <v>10</v>
      </c>
      <c r="H27" s="59">
        <f>'TABLA GENERAL'!D32</f>
        <v>5231</v>
      </c>
      <c r="I27" s="115">
        <v>52310</v>
      </c>
      <c r="J27" s="15">
        <v>10</v>
      </c>
      <c r="K27" s="60">
        <f t="shared" si="4"/>
        <v>52310</v>
      </c>
      <c r="L27" s="15">
        <v>0</v>
      </c>
      <c r="M27" s="60">
        <f t="shared" si="5"/>
        <v>0</v>
      </c>
      <c r="N27" s="15">
        <v>0</v>
      </c>
      <c r="O27" s="60">
        <f t="shared" si="6"/>
        <v>0</v>
      </c>
      <c r="P27" s="15">
        <v>0</v>
      </c>
      <c r="Q27" s="73">
        <f t="shared" si="7"/>
        <v>0</v>
      </c>
      <c r="R27" s="18">
        <f t="shared" si="8"/>
        <v>10</v>
      </c>
      <c r="S27" s="18">
        <f t="shared" si="8"/>
        <v>52310</v>
      </c>
      <c r="U27" s="336">
        <f t="shared" si="0"/>
        <v>1</v>
      </c>
      <c r="V27" s="336">
        <f t="shared" si="1"/>
        <v>0</v>
      </c>
      <c r="W27" s="336">
        <f t="shared" si="2"/>
        <v>0</v>
      </c>
      <c r="X27" s="336">
        <f t="shared" si="3"/>
        <v>0</v>
      </c>
      <c r="Y27" s="338">
        <f t="shared" si="9"/>
        <v>1</v>
      </c>
    </row>
    <row r="28" spans="1:25" ht="16.5" customHeight="1" thickTop="1" thickBot="1" x14ac:dyDescent="0.3">
      <c r="A28" s="551"/>
      <c r="B28" s="551"/>
      <c r="C28" s="551"/>
      <c r="D28" s="656"/>
      <c r="E28" s="47" t="s">
        <v>283</v>
      </c>
      <c r="F28" s="32" t="s">
        <v>284</v>
      </c>
      <c r="G28" s="15">
        <v>13</v>
      </c>
      <c r="H28" s="59">
        <f>'TABLA GENERAL'!D33</f>
        <v>3641</v>
      </c>
      <c r="I28" s="115">
        <v>47333</v>
      </c>
      <c r="J28" s="15">
        <v>3</v>
      </c>
      <c r="K28" s="60">
        <f t="shared" si="4"/>
        <v>10923</v>
      </c>
      <c r="L28" s="15">
        <v>0</v>
      </c>
      <c r="M28" s="60">
        <f t="shared" si="5"/>
        <v>0</v>
      </c>
      <c r="N28" s="15">
        <v>0</v>
      </c>
      <c r="O28" s="60">
        <f t="shared" si="6"/>
        <v>0</v>
      </c>
      <c r="P28" s="15">
        <v>0</v>
      </c>
      <c r="Q28" s="73">
        <f t="shared" si="7"/>
        <v>0</v>
      </c>
      <c r="R28" s="18">
        <f t="shared" si="8"/>
        <v>3</v>
      </c>
      <c r="S28" s="18">
        <f t="shared" si="8"/>
        <v>10923</v>
      </c>
      <c r="U28" s="336">
        <f t="shared" si="0"/>
        <v>0.23076923076923078</v>
      </c>
      <c r="V28" s="336">
        <f t="shared" si="1"/>
        <v>0</v>
      </c>
      <c r="W28" s="336">
        <f t="shared" si="2"/>
        <v>0</v>
      </c>
      <c r="X28" s="336">
        <f t="shared" si="3"/>
        <v>0</v>
      </c>
      <c r="Y28" s="338">
        <f t="shared" si="9"/>
        <v>0.23076923076923078</v>
      </c>
    </row>
    <row r="29" spans="1:25" ht="23.25" customHeight="1" thickTop="1" thickBot="1" x14ac:dyDescent="0.3">
      <c r="A29" s="551"/>
      <c r="B29" s="551"/>
      <c r="C29" s="551"/>
      <c r="D29" s="657" t="s">
        <v>285</v>
      </c>
      <c r="E29" s="47" t="s">
        <v>286</v>
      </c>
      <c r="F29" s="32" t="s">
        <v>287</v>
      </c>
      <c r="G29" s="15">
        <v>2</v>
      </c>
      <c r="H29" s="59">
        <v>123893</v>
      </c>
      <c r="I29" s="115">
        <v>247786</v>
      </c>
      <c r="J29" s="15">
        <v>1</v>
      </c>
      <c r="K29" s="60">
        <f t="shared" si="4"/>
        <v>123893</v>
      </c>
      <c r="L29" s="15">
        <v>0</v>
      </c>
      <c r="M29" s="60">
        <f t="shared" si="5"/>
        <v>0</v>
      </c>
      <c r="N29" s="47">
        <v>0</v>
      </c>
      <c r="O29" s="60">
        <f t="shared" si="6"/>
        <v>0</v>
      </c>
      <c r="P29" s="47">
        <v>0</v>
      </c>
      <c r="Q29" s="73">
        <f t="shared" si="7"/>
        <v>0</v>
      </c>
      <c r="R29" s="18">
        <f t="shared" si="8"/>
        <v>1</v>
      </c>
      <c r="S29" s="18">
        <f t="shared" si="8"/>
        <v>123893</v>
      </c>
      <c r="U29" s="336">
        <f t="shared" si="0"/>
        <v>0.5</v>
      </c>
      <c r="V29" s="336">
        <f t="shared" si="1"/>
        <v>0</v>
      </c>
      <c r="W29" s="336">
        <f t="shared" si="2"/>
        <v>0</v>
      </c>
      <c r="X29" s="336">
        <f t="shared" si="3"/>
        <v>0</v>
      </c>
      <c r="Y29" s="338">
        <f t="shared" si="9"/>
        <v>0.5</v>
      </c>
    </row>
    <row r="30" spans="1:25" ht="16.5" customHeight="1" thickTop="1" thickBot="1" x14ac:dyDescent="0.3">
      <c r="A30" s="551"/>
      <c r="B30" s="551"/>
      <c r="C30" s="551"/>
      <c r="D30" s="658"/>
      <c r="E30" s="47" t="s">
        <v>288</v>
      </c>
      <c r="F30" s="32" t="s">
        <v>289</v>
      </c>
      <c r="G30" s="15">
        <v>10</v>
      </c>
      <c r="H30" s="59">
        <f>'TABLA GENERAL'!D36</f>
        <v>57181</v>
      </c>
      <c r="I30" s="115">
        <v>571810</v>
      </c>
      <c r="J30" s="15">
        <v>5</v>
      </c>
      <c r="K30" s="60">
        <f t="shared" si="4"/>
        <v>285905</v>
      </c>
      <c r="L30" s="15">
        <v>0</v>
      </c>
      <c r="M30" s="60">
        <f t="shared" si="5"/>
        <v>0</v>
      </c>
      <c r="N30" s="15">
        <v>0</v>
      </c>
      <c r="O30" s="60">
        <f t="shared" si="6"/>
        <v>0</v>
      </c>
      <c r="P30" s="15">
        <v>0</v>
      </c>
      <c r="Q30" s="73">
        <f t="shared" si="7"/>
        <v>0</v>
      </c>
      <c r="R30" s="18">
        <f t="shared" si="8"/>
        <v>5</v>
      </c>
      <c r="S30" s="18">
        <f t="shared" si="8"/>
        <v>285905</v>
      </c>
      <c r="U30" s="336">
        <f t="shared" si="0"/>
        <v>0.5</v>
      </c>
      <c r="V30" s="336">
        <f t="shared" si="1"/>
        <v>0</v>
      </c>
      <c r="W30" s="336">
        <f t="shared" si="2"/>
        <v>0</v>
      </c>
      <c r="X30" s="336">
        <f t="shared" si="3"/>
        <v>0</v>
      </c>
      <c r="Y30" s="338">
        <f t="shared" si="9"/>
        <v>0.5</v>
      </c>
    </row>
    <row r="31" spans="1:25" ht="16.5" customHeight="1" thickTop="1" thickBot="1" x14ac:dyDescent="0.3">
      <c r="A31" s="551"/>
      <c r="B31" s="551"/>
      <c r="C31" s="551"/>
      <c r="D31" s="655" t="s">
        <v>290</v>
      </c>
      <c r="E31" s="47" t="s">
        <v>291</v>
      </c>
      <c r="F31" s="32" t="s">
        <v>292</v>
      </c>
      <c r="G31" s="15">
        <v>2</v>
      </c>
      <c r="H31" s="59">
        <f>'TABLA GENERAL'!D39</f>
        <v>29368</v>
      </c>
      <c r="I31" s="115">
        <v>58736</v>
      </c>
      <c r="J31" s="15">
        <v>1</v>
      </c>
      <c r="K31" s="60">
        <f t="shared" si="4"/>
        <v>29368</v>
      </c>
      <c r="L31" s="15">
        <v>0</v>
      </c>
      <c r="M31" s="60">
        <f t="shared" si="5"/>
        <v>0</v>
      </c>
      <c r="N31" s="47">
        <v>0</v>
      </c>
      <c r="O31" s="60">
        <f t="shared" si="6"/>
        <v>0</v>
      </c>
      <c r="P31" s="47">
        <v>0</v>
      </c>
      <c r="Q31" s="73">
        <f t="shared" si="7"/>
        <v>0</v>
      </c>
      <c r="R31" s="18">
        <f t="shared" si="8"/>
        <v>1</v>
      </c>
      <c r="S31" s="18">
        <f t="shared" si="8"/>
        <v>29368</v>
      </c>
      <c r="U31" s="336">
        <f t="shared" si="0"/>
        <v>0.5</v>
      </c>
      <c r="V31" s="336">
        <f t="shared" si="1"/>
        <v>0</v>
      </c>
      <c r="W31" s="336">
        <f t="shared" si="2"/>
        <v>0</v>
      </c>
      <c r="X31" s="336">
        <f t="shared" si="3"/>
        <v>0</v>
      </c>
      <c r="Y31" s="338">
        <f t="shared" si="9"/>
        <v>0.5</v>
      </c>
    </row>
    <row r="32" spans="1:25" ht="16.5" customHeight="1" thickTop="1" thickBot="1" x14ac:dyDescent="0.3">
      <c r="A32" s="551"/>
      <c r="B32" s="551"/>
      <c r="C32" s="551"/>
      <c r="D32" s="659"/>
      <c r="E32" s="47" t="s">
        <v>293</v>
      </c>
      <c r="F32" s="32" t="s">
        <v>294</v>
      </c>
      <c r="G32" s="15">
        <v>1</v>
      </c>
      <c r="H32" s="59">
        <f>'TABLA GENERAL'!D40</f>
        <v>26082</v>
      </c>
      <c r="I32" s="115">
        <v>26082</v>
      </c>
      <c r="J32" s="15">
        <v>1</v>
      </c>
      <c r="K32" s="60">
        <f t="shared" si="4"/>
        <v>26082</v>
      </c>
      <c r="L32" s="15">
        <v>0</v>
      </c>
      <c r="M32" s="60">
        <f t="shared" si="5"/>
        <v>0</v>
      </c>
      <c r="N32" s="15">
        <v>0</v>
      </c>
      <c r="O32" s="60">
        <f t="shared" si="6"/>
        <v>0</v>
      </c>
      <c r="P32" s="15">
        <v>0</v>
      </c>
      <c r="Q32" s="73">
        <f t="shared" si="7"/>
        <v>0</v>
      </c>
      <c r="R32" s="18">
        <f t="shared" si="8"/>
        <v>1</v>
      </c>
      <c r="S32" s="18">
        <f t="shared" si="8"/>
        <v>26082</v>
      </c>
      <c r="U32" s="336">
        <f t="shared" si="0"/>
        <v>1</v>
      </c>
      <c r="V32" s="336">
        <f t="shared" si="1"/>
        <v>0</v>
      </c>
      <c r="W32" s="336">
        <f t="shared" si="2"/>
        <v>0</v>
      </c>
      <c r="X32" s="336">
        <f t="shared" si="3"/>
        <v>0</v>
      </c>
      <c r="Y32" s="338">
        <f t="shared" si="9"/>
        <v>1</v>
      </c>
    </row>
    <row r="33" spans="1:25" ht="16.5" customHeight="1" thickTop="1" thickBot="1" x14ac:dyDescent="0.3">
      <c r="A33" s="551"/>
      <c r="B33" s="551"/>
      <c r="C33" s="552"/>
      <c r="D33" s="656"/>
      <c r="E33" s="47" t="s">
        <v>295</v>
      </c>
      <c r="F33" s="32" t="s">
        <v>296</v>
      </c>
      <c r="G33" s="15">
        <v>10</v>
      </c>
      <c r="H33" s="59">
        <f>'TABLA GENERAL'!D41</f>
        <v>44012</v>
      </c>
      <c r="I33" s="115">
        <v>440120</v>
      </c>
      <c r="J33" s="15">
        <v>1</v>
      </c>
      <c r="K33" s="60">
        <f t="shared" si="4"/>
        <v>44012</v>
      </c>
      <c r="L33" s="15">
        <v>2</v>
      </c>
      <c r="M33" s="60">
        <f t="shared" si="5"/>
        <v>88024</v>
      </c>
      <c r="N33" s="15">
        <v>0</v>
      </c>
      <c r="O33" s="60">
        <f t="shared" si="6"/>
        <v>0</v>
      </c>
      <c r="P33" s="15">
        <v>0</v>
      </c>
      <c r="Q33" s="73">
        <f t="shared" si="7"/>
        <v>0</v>
      </c>
      <c r="R33" s="18">
        <f t="shared" si="8"/>
        <v>3</v>
      </c>
      <c r="S33" s="18">
        <f t="shared" si="8"/>
        <v>132036</v>
      </c>
      <c r="U33" s="336">
        <f t="shared" si="0"/>
        <v>0.1</v>
      </c>
      <c r="V33" s="336">
        <f t="shared" si="1"/>
        <v>0.2</v>
      </c>
      <c r="W33" s="336">
        <f t="shared" si="2"/>
        <v>0</v>
      </c>
      <c r="X33" s="336">
        <f t="shared" si="3"/>
        <v>0</v>
      </c>
      <c r="Y33" s="338">
        <f t="shared" si="9"/>
        <v>0.3</v>
      </c>
    </row>
    <row r="34" spans="1:25" ht="25.5" customHeight="1" thickTop="1" thickBot="1" x14ac:dyDescent="0.3">
      <c r="A34" s="551"/>
      <c r="B34" s="551"/>
      <c r="C34" s="640" t="s">
        <v>297</v>
      </c>
      <c r="D34" s="641"/>
      <c r="E34" s="47" t="s">
        <v>298</v>
      </c>
      <c r="F34" s="32" t="s">
        <v>299</v>
      </c>
      <c r="G34" s="15">
        <v>2</v>
      </c>
      <c r="H34" s="59">
        <f>'TABLA GENERAL'!D42</f>
        <v>25629</v>
      </c>
      <c r="I34" s="115">
        <v>51258</v>
      </c>
      <c r="J34" s="15">
        <v>0</v>
      </c>
      <c r="K34" s="60">
        <f t="shared" si="4"/>
        <v>0</v>
      </c>
      <c r="L34" s="15">
        <v>1</v>
      </c>
      <c r="M34" s="60">
        <f t="shared" si="5"/>
        <v>25629</v>
      </c>
      <c r="N34" s="15">
        <v>0</v>
      </c>
      <c r="O34" s="60">
        <f t="shared" si="6"/>
        <v>0</v>
      </c>
      <c r="P34" s="15">
        <v>0</v>
      </c>
      <c r="Q34" s="73">
        <f t="shared" si="7"/>
        <v>0</v>
      </c>
      <c r="R34" s="18">
        <f t="shared" si="8"/>
        <v>1</v>
      </c>
      <c r="S34" s="18">
        <f t="shared" si="8"/>
        <v>25629</v>
      </c>
      <c r="U34" s="336">
        <f t="shared" si="0"/>
        <v>0</v>
      </c>
      <c r="V34" s="336">
        <f t="shared" si="1"/>
        <v>0.5</v>
      </c>
      <c r="W34" s="336">
        <f t="shared" si="2"/>
        <v>0</v>
      </c>
      <c r="X34" s="336">
        <f t="shared" si="3"/>
        <v>0</v>
      </c>
      <c r="Y34" s="338">
        <f t="shared" si="9"/>
        <v>0.5</v>
      </c>
    </row>
    <row r="35" spans="1:25" ht="16.5" thickTop="1" thickBot="1" x14ac:dyDescent="0.3">
      <c r="A35" s="551"/>
      <c r="B35" s="551"/>
      <c r="C35" s="642"/>
      <c r="D35" s="643"/>
      <c r="E35" s="47" t="s">
        <v>300</v>
      </c>
      <c r="F35" s="32" t="s">
        <v>301</v>
      </c>
      <c r="G35" s="15">
        <v>3</v>
      </c>
      <c r="H35" s="59">
        <f>'TABLA GENERAL'!D45</f>
        <v>2744</v>
      </c>
      <c r="I35" s="115">
        <v>8232</v>
      </c>
      <c r="J35" s="15">
        <v>1</v>
      </c>
      <c r="K35" s="60">
        <f t="shared" si="4"/>
        <v>2744</v>
      </c>
      <c r="L35" s="15">
        <v>0</v>
      </c>
      <c r="M35" s="60">
        <f t="shared" si="5"/>
        <v>0</v>
      </c>
      <c r="N35" s="15">
        <v>0</v>
      </c>
      <c r="O35" s="60">
        <f t="shared" si="6"/>
        <v>0</v>
      </c>
      <c r="P35" s="15">
        <v>0</v>
      </c>
      <c r="Q35" s="73">
        <f t="shared" si="7"/>
        <v>0</v>
      </c>
      <c r="R35" s="18">
        <f t="shared" si="8"/>
        <v>1</v>
      </c>
      <c r="S35" s="18">
        <f t="shared" si="8"/>
        <v>2744</v>
      </c>
      <c r="U35" s="336">
        <f t="shared" si="0"/>
        <v>0.33333333333333331</v>
      </c>
      <c r="V35" s="336">
        <f t="shared" si="1"/>
        <v>0</v>
      </c>
      <c r="W35" s="336">
        <f t="shared" si="2"/>
        <v>0</v>
      </c>
      <c r="X35" s="336">
        <f t="shared" si="3"/>
        <v>0</v>
      </c>
      <c r="Y35" s="338">
        <f t="shared" si="9"/>
        <v>0.33333333333333331</v>
      </c>
    </row>
    <row r="36" spans="1:25" ht="16.5" thickTop="1" thickBot="1" x14ac:dyDescent="0.3">
      <c r="A36" s="551"/>
      <c r="B36" s="551"/>
      <c r="C36" s="642"/>
      <c r="D36" s="643"/>
      <c r="E36" s="47" t="s">
        <v>302</v>
      </c>
      <c r="F36" s="32" t="s">
        <v>303</v>
      </c>
      <c r="G36" s="15">
        <v>2</v>
      </c>
      <c r="H36" s="59">
        <f>'TABLA GENERAL'!D46</f>
        <v>71054</v>
      </c>
      <c r="I36" s="115">
        <v>142108</v>
      </c>
      <c r="J36" s="15">
        <v>0</v>
      </c>
      <c r="K36" s="60">
        <f t="shared" si="4"/>
        <v>0</v>
      </c>
      <c r="L36" s="15">
        <v>1</v>
      </c>
      <c r="M36" s="60">
        <f t="shared" si="5"/>
        <v>71054</v>
      </c>
      <c r="N36" s="15">
        <v>0</v>
      </c>
      <c r="O36" s="60">
        <f t="shared" si="6"/>
        <v>0</v>
      </c>
      <c r="P36" s="15">
        <v>0</v>
      </c>
      <c r="Q36" s="73">
        <f t="shared" si="7"/>
        <v>0</v>
      </c>
      <c r="R36" s="18">
        <f t="shared" si="8"/>
        <v>1</v>
      </c>
      <c r="S36" s="18">
        <f t="shared" si="8"/>
        <v>71054</v>
      </c>
      <c r="U36" s="336">
        <f t="shared" si="0"/>
        <v>0</v>
      </c>
      <c r="V36" s="336">
        <f t="shared" si="1"/>
        <v>0.5</v>
      </c>
      <c r="W36" s="336">
        <f t="shared" si="2"/>
        <v>0</v>
      </c>
      <c r="X36" s="336">
        <f t="shared" si="3"/>
        <v>0</v>
      </c>
      <c r="Y36" s="338">
        <f t="shared" si="9"/>
        <v>0.5</v>
      </c>
    </row>
    <row r="37" spans="1:25" ht="16.5" thickTop="1" thickBot="1" x14ac:dyDescent="0.3">
      <c r="A37" s="551"/>
      <c r="B37" s="551"/>
      <c r="C37" s="642"/>
      <c r="D37" s="643"/>
      <c r="E37" s="47" t="s">
        <v>304</v>
      </c>
      <c r="F37" s="32" t="s">
        <v>305</v>
      </c>
      <c r="G37" s="15">
        <v>2</v>
      </c>
      <c r="H37" s="59">
        <f>'TABLA GENERAL'!D47</f>
        <v>80516</v>
      </c>
      <c r="I37" s="115">
        <v>161032</v>
      </c>
      <c r="J37" s="15">
        <v>0</v>
      </c>
      <c r="K37" s="60">
        <f t="shared" si="4"/>
        <v>0</v>
      </c>
      <c r="L37" s="15">
        <v>1</v>
      </c>
      <c r="M37" s="60">
        <f t="shared" si="5"/>
        <v>80516</v>
      </c>
      <c r="N37" s="47">
        <v>0</v>
      </c>
      <c r="O37" s="60">
        <f t="shared" si="6"/>
        <v>0</v>
      </c>
      <c r="P37" s="47">
        <v>0</v>
      </c>
      <c r="Q37" s="73">
        <f t="shared" si="7"/>
        <v>0</v>
      </c>
      <c r="R37" s="18">
        <f t="shared" si="8"/>
        <v>1</v>
      </c>
      <c r="S37" s="18">
        <f t="shared" si="8"/>
        <v>80516</v>
      </c>
      <c r="U37" s="336">
        <f t="shared" si="0"/>
        <v>0</v>
      </c>
      <c r="V37" s="336">
        <f t="shared" si="1"/>
        <v>0.5</v>
      </c>
      <c r="W37" s="336">
        <f t="shared" si="2"/>
        <v>0</v>
      </c>
      <c r="X37" s="336">
        <f t="shared" si="3"/>
        <v>0</v>
      </c>
      <c r="Y37" s="338">
        <f t="shared" si="9"/>
        <v>0.5</v>
      </c>
    </row>
    <row r="38" spans="1:25" ht="16.5" thickTop="1" thickBot="1" x14ac:dyDescent="0.3">
      <c r="A38" s="552"/>
      <c r="B38" s="551"/>
      <c r="C38" s="644"/>
      <c r="D38" s="645"/>
      <c r="E38" s="47" t="s">
        <v>306</v>
      </c>
      <c r="F38" s="57" t="s">
        <v>307</v>
      </c>
      <c r="G38" s="51">
        <v>1</v>
      </c>
      <c r="H38" s="71">
        <f>'TABLA GENERAL'!D48</f>
        <v>670956</v>
      </c>
      <c r="I38" s="116">
        <v>670956</v>
      </c>
      <c r="J38" s="51">
        <f>0.25+0.1</f>
        <v>0.35</v>
      </c>
      <c r="K38" s="60">
        <f t="shared" si="4"/>
        <v>234834.59999999998</v>
      </c>
      <c r="L38" s="51">
        <v>0.3</v>
      </c>
      <c r="M38" s="60">
        <f t="shared" si="5"/>
        <v>201286.8</v>
      </c>
      <c r="N38" s="51">
        <v>0.2</v>
      </c>
      <c r="O38" s="60">
        <f t="shared" si="6"/>
        <v>134191.20000000001</v>
      </c>
      <c r="P38" s="51">
        <v>0.15</v>
      </c>
      <c r="Q38" s="73">
        <f t="shared" si="7"/>
        <v>100643.4</v>
      </c>
      <c r="R38" s="18">
        <f t="shared" si="8"/>
        <v>0.99999999999999989</v>
      </c>
      <c r="S38" s="18">
        <f t="shared" si="8"/>
        <v>670956</v>
      </c>
      <c r="U38" s="336">
        <f t="shared" si="0"/>
        <v>0.35</v>
      </c>
      <c r="V38" s="336">
        <f t="shared" si="1"/>
        <v>0.3</v>
      </c>
      <c r="W38" s="336">
        <f t="shared" si="2"/>
        <v>0.2</v>
      </c>
      <c r="X38" s="336">
        <f t="shared" si="3"/>
        <v>0.15</v>
      </c>
      <c r="Y38" s="338">
        <f t="shared" si="9"/>
        <v>0.99999999999999989</v>
      </c>
    </row>
    <row r="39" spans="1:25" ht="17.25" thickBot="1" x14ac:dyDescent="0.3">
      <c r="A39" s="112"/>
      <c r="B39" s="552"/>
      <c r="C39" s="308"/>
      <c r="D39" s="112"/>
      <c r="E39" s="112"/>
      <c r="F39" s="112" t="s">
        <v>308</v>
      </c>
      <c r="G39" s="112"/>
      <c r="H39" s="112"/>
      <c r="I39" s="118">
        <f>SUM(I5:I38)</f>
        <v>7274066</v>
      </c>
      <c r="J39" s="112"/>
      <c r="K39" s="119">
        <f>SUM(K5:K38)</f>
        <v>1712801.6</v>
      </c>
      <c r="L39" s="112"/>
      <c r="M39" s="119">
        <f>SUM(M5:M38)</f>
        <v>1606524.8</v>
      </c>
      <c r="N39" s="112"/>
      <c r="O39" s="119">
        <f>SUM(O5:O38)</f>
        <v>134191.20000000001</v>
      </c>
      <c r="P39" s="112"/>
      <c r="Q39" s="312">
        <f>SUM(Q5:Q38)</f>
        <v>100643.4</v>
      </c>
      <c r="R39" s="112"/>
      <c r="S39" s="119">
        <f>Q39+O39+M39+K39</f>
        <v>3554161</v>
      </c>
      <c r="T39" s="14">
        <f>Q39+O39+M39+K39</f>
        <v>3554161</v>
      </c>
      <c r="U39" s="337">
        <f>AVERAGE(U5:U38)</f>
        <v>0.34789575319761074</v>
      </c>
      <c r="V39" s="337">
        <f>AVERAGE(V5:V38)</f>
        <v>0.2593211527035057</v>
      </c>
      <c r="W39" s="337">
        <f>AVERAGE(W5:W38)</f>
        <v>5.8823529411764705E-3</v>
      </c>
      <c r="X39" s="337">
        <f>AVERAGE(X5:X38)</f>
        <v>4.4117647058823529E-3</v>
      </c>
      <c r="Y39" s="337">
        <f>AVERAGE(Y5:Y38)</f>
        <v>0.61751102354817533</v>
      </c>
    </row>
    <row r="40" spans="1:25" ht="14.45" x14ac:dyDescent="0.3">
      <c r="U40" s="339">
        <f>+K39/I39</f>
        <v>0.23546687643472028</v>
      </c>
      <c r="V40" s="339">
        <f>+M39/I39</f>
        <v>0.22085650583868774</v>
      </c>
      <c r="W40" s="339">
        <f>+O39/I39</f>
        <v>1.8447894203874424E-2</v>
      </c>
      <c r="X40" s="339">
        <f>+Q39/I39</f>
        <v>1.3835920652905816E-2</v>
      </c>
      <c r="Y40" s="339">
        <f>+S39/I39</f>
        <v>0.48860719713018824</v>
      </c>
    </row>
    <row r="41" spans="1:25" thickBot="1" x14ac:dyDescent="0.35"/>
    <row r="42" spans="1:25" ht="47.25" customHeight="1" thickBot="1" x14ac:dyDescent="0.35">
      <c r="B42" s="195"/>
      <c r="C42" s="195"/>
      <c r="D42" s="195"/>
      <c r="E42" s="195"/>
      <c r="F42" s="617" t="s">
        <v>309</v>
      </c>
      <c r="G42" s="618"/>
      <c r="H42" s="618"/>
      <c r="I42" s="618"/>
      <c r="J42" s="618"/>
      <c r="K42" s="618"/>
      <c r="L42" s="618"/>
      <c r="M42" s="618"/>
      <c r="N42" s="618"/>
      <c r="O42" s="618"/>
      <c r="P42" s="618"/>
      <c r="Q42" s="618"/>
      <c r="R42" s="584" t="s">
        <v>227</v>
      </c>
      <c r="S42" s="585"/>
      <c r="Y42" s="326" t="s">
        <v>227</v>
      </c>
    </row>
    <row r="43" spans="1:25" ht="50.25" customHeight="1" thickBot="1" x14ac:dyDescent="0.3">
      <c r="A43" s="314" t="s">
        <v>228</v>
      </c>
      <c r="B43" s="550" t="s">
        <v>310</v>
      </c>
      <c r="C43" s="121"/>
      <c r="D43" s="122"/>
      <c r="E43" s="314"/>
      <c r="F43" s="112" t="s">
        <v>85</v>
      </c>
      <c r="G43" s="314" t="s">
        <v>229</v>
      </c>
      <c r="H43" s="314" t="s">
        <v>123</v>
      </c>
      <c r="I43" s="113" t="s">
        <v>230</v>
      </c>
      <c r="J43" s="314">
        <v>2021</v>
      </c>
      <c r="K43" s="314" t="s">
        <v>79</v>
      </c>
      <c r="L43" s="314">
        <v>2022</v>
      </c>
      <c r="M43" s="314" t="s">
        <v>79</v>
      </c>
      <c r="N43" s="314">
        <v>2023</v>
      </c>
      <c r="O43" s="314" t="s">
        <v>79</v>
      </c>
      <c r="P43" s="314">
        <v>2025</v>
      </c>
      <c r="Q43" s="314" t="s">
        <v>79</v>
      </c>
      <c r="R43" s="314" t="s">
        <v>124</v>
      </c>
      <c r="S43" s="314" t="s">
        <v>77</v>
      </c>
      <c r="U43" s="335">
        <v>2021</v>
      </c>
      <c r="V43" s="335">
        <v>2022</v>
      </c>
      <c r="W43" s="335">
        <v>2023</v>
      </c>
      <c r="X43" s="335">
        <v>2025</v>
      </c>
      <c r="Y43" s="335" t="s">
        <v>124</v>
      </c>
    </row>
    <row r="44" spans="1:25" ht="39" customHeight="1" thickTop="1" thickBot="1" x14ac:dyDescent="0.3">
      <c r="A44" s="279"/>
      <c r="B44" s="551"/>
      <c r="C44" s="646" t="s">
        <v>311</v>
      </c>
      <c r="D44" s="647"/>
      <c r="E44" s="47" t="s">
        <v>312</v>
      </c>
      <c r="F44" s="32" t="s">
        <v>313</v>
      </c>
      <c r="G44" s="15">
        <v>42</v>
      </c>
      <c r="H44" s="59">
        <f>'TABLA GENERAL'!D56</f>
        <v>739</v>
      </c>
      <c r="I44" s="115">
        <f>G44*H44</f>
        <v>31038</v>
      </c>
      <c r="J44" s="15">
        <v>0</v>
      </c>
      <c r="K44" s="60">
        <f>J44*H44</f>
        <v>0</v>
      </c>
      <c r="L44" s="15">
        <v>0</v>
      </c>
      <c r="M44" s="60">
        <f>L44*H44</f>
        <v>0</v>
      </c>
      <c r="N44" s="15">
        <v>14</v>
      </c>
      <c r="O44" s="60">
        <f>N44*H44</f>
        <v>10346</v>
      </c>
      <c r="P44" s="15">
        <v>14</v>
      </c>
      <c r="Q44" s="60">
        <f>P44*H44</f>
        <v>10346</v>
      </c>
      <c r="R44" s="18">
        <f t="shared" ref="R44:S59" si="10">P44+N44+L44+J44</f>
        <v>28</v>
      </c>
      <c r="S44" s="18">
        <f t="shared" si="10"/>
        <v>20692</v>
      </c>
      <c r="U44" s="336">
        <f t="shared" ref="U44:U75" si="11">+J44/G44</f>
        <v>0</v>
      </c>
      <c r="V44" s="336">
        <f t="shared" ref="V44:V75" si="12">+L44/G44</f>
        <v>0</v>
      </c>
      <c r="W44" s="336">
        <f t="shared" ref="W44:W75" si="13">+N44/G44</f>
        <v>0.33333333333333331</v>
      </c>
      <c r="X44" s="336">
        <f t="shared" ref="X44:X75" si="14">+P44/G44</f>
        <v>0.33333333333333331</v>
      </c>
      <c r="Y44" s="338">
        <f t="shared" ref="Y44:Y107" si="15">+R44/G44</f>
        <v>0.66666666666666663</v>
      </c>
    </row>
    <row r="45" spans="1:25" ht="16.5" customHeight="1" thickTop="1" thickBot="1" x14ac:dyDescent="0.3">
      <c r="A45" s="279"/>
      <c r="B45" s="551"/>
      <c r="C45" s="646"/>
      <c r="D45" s="647"/>
      <c r="E45" s="47" t="s">
        <v>314</v>
      </c>
      <c r="F45" s="32" t="s">
        <v>315</v>
      </c>
      <c r="G45" s="15">
        <v>84</v>
      </c>
      <c r="H45" s="59">
        <f>'TABLA GENERAL'!D57</f>
        <v>2300</v>
      </c>
      <c r="I45" s="115">
        <f t="shared" ref="I45:I109" si="16">G45*H45</f>
        <v>193200</v>
      </c>
      <c r="J45" s="15">
        <v>12</v>
      </c>
      <c r="K45" s="60">
        <f t="shared" ref="K45:K109" si="17">J45*H45</f>
        <v>27600</v>
      </c>
      <c r="L45" s="15">
        <v>12</v>
      </c>
      <c r="M45" s="60">
        <f t="shared" ref="M45:M109" si="18">L45*H45</f>
        <v>27600</v>
      </c>
      <c r="N45" s="15">
        <v>12</v>
      </c>
      <c r="O45" s="60">
        <f t="shared" ref="O45:O109" si="19">N45*H45</f>
        <v>27600</v>
      </c>
      <c r="P45" s="15">
        <v>12</v>
      </c>
      <c r="Q45" s="60">
        <f t="shared" ref="Q45:Q109" si="20">P45*H45</f>
        <v>27600</v>
      </c>
      <c r="R45" s="18">
        <f t="shared" si="10"/>
        <v>48</v>
      </c>
      <c r="S45" s="18">
        <f t="shared" si="10"/>
        <v>110400</v>
      </c>
      <c r="U45" s="336">
        <f t="shared" si="11"/>
        <v>0.14285714285714285</v>
      </c>
      <c r="V45" s="336">
        <f t="shared" si="12"/>
        <v>0.14285714285714285</v>
      </c>
      <c r="W45" s="336">
        <f t="shared" si="13"/>
        <v>0.14285714285714285</v>
      </c>
      <c r="X45" s="336">
        <f t="shared" si="14"/>
        <v>0.14285714285714285</v>
      </c>
      <c r="Y45" s="338">
        <f t="shared" si="15"/>
        <v>0.5714285714285714</v>
      </c>
    </row>
    <row r="46" spans="1:25" ht="16.5" customHeight="1" thickTop="1" thickBot="1" x14ac:dyDescent="0.3">
      <c r="A46" s="279"/>
      <c r="B46" s="551"/>
      <c r="C46" s="646"/>
      <c r="D46" s="647"/>
      <c r="E46" s="47" t="s">
        <v>94</v>
      </c>
      <c r="F46" s="32" t="s">
        <v>93</v>
      </c>
      <c r="G46" s="15">
        <v>125</v>
      </c>
      <c r="H46" s="59">
        <f>'TABLA GENERAL'!D58</f>
        <v>1690</v>
      </c>
      <c r="I46" s="115">
        <f t="shared" si="16"/>
        <v>211250</v>
      </c>
      <c r="J46" s="15">
        <v>14</v>
      </c>
      <c r="K46" s="60">
        <f t="shared" si="17"/>
        <v>23660</v>
      </c>
      <c r="L46" s="15">
        <v>12</v>
      </c>
      <c r="M46" s="60">
        <f t="shared" si="18"/>
        <v>20280</v>
      </c>
      <c r="N46" s="15">
        <v>12</v>
      </c>
      <c r="O46" s="60">
        <f t="shared" si="19"/>
        <v>20280</v>
      </c>
      <c r="P46" s="15">
        <v>10</v>
      </c>
      <c r="Q46" s="60">
        <f t="shared" si="20"/>
        <v>16900</v>
      </c>
      <c r="R46" s="18">
        <f t="shared" si="10"/>
        <v>48</v>
      </c>
      <c r="S46" s="18">
        <f t="shared" si="10"/>
        <v>81120</v>
      </c>
      <c r="U46" s="336">
        <f t="shared" si="11"/>
        <v>0.112</v>
      </c>
      <c r="V46" s="336">
        <f t="shared" si="12"/>
        <v>9.6000000000000002E-2</v>
      </c>
      <c r="W46" s="336">
        <f t="shared" si="13"/>
        <v>9.6000000000000002E-2</v>
      </c>
      <c r="X46" s="336">
        <f t="shared" si="14"/>
        <v>0.08</v>
      </c>
      <c r="Y46" s="338">
        <f t="shared" si="15"/>
        <v>0.38400000000000001</v>
      </c>
    </row>
    <row r="47" spans="1:25" ht="16.5" customHeight="1" thickTop="1" thickBot="1" x14ac:dyDescent="0.3">
      <c r="A47" s="279"/>
      <c r="B47" s="551"/>
      <c r="C47" s="646"/>
      <c r="D47" s="647"/>
      <c r="E47" s="47" t="s">
        <v>92</v>
      </c>
      <c r="F47" s="32" t="s">
        <v>91</v>
      </c>
      <c r="G47" s="15">
        <v>140</v>
      </c>
      <c r="H47" s="59">
        <f>'TABLA GENERAL'!D59</f>
        <v>13300</v>
      </c>
      <c r="I47" s="115">
        <f t="shared" si="16"/>
        <v>1862000</v>
      </c>
      <c r="J47" s="15">
        <v>12</v>
      </c>
      <c r="K47" s="60">
        <f t="shared" si="17"/>
        <v>159600</v>
      </c>
      <c r="L47" s="15">
        <v>12</v>
      </c>
      <c r="M47" s="60">
        <f t="shared" si="18"/>
        <v>159600</v>
      </c>
      <c r="N47" s="15">
        <v>12</v>
      </c>
      <c r="O47" s="60">
        <f t="shared" si="19"/>
        <v>159600</v>
      </c>
      <c r="P47" s="15">
        <v>24</v>
      </c>
      <c r="Q47" s="60">
        <f t="shared" si="20"/>
        <v>319200</v>
      </c>
      <c r="R47" s="18">
        <f t="shared" si="10"/>
        <v>60</v>
      </c>
      <c r="S47" s="18">
        <f t="shared" si="10"/>
        <v>798000</v>
      </c>
      <c r="U47" s="336">
        <f t="shared" si="11"/>
        <v>8.5714285714285715E-2</v>
      </c>
      <c r="V47" s="336">
        <f t="shared" si="12"/>
        <v>8.5714285714285715E-2</v>
      </c>
      <c r="W47" s="336">
        <f t="shared" si="13"/>
        <v>8.5714285714285715E-2</v>
      </c>
      <c r="X47" s="336">
        <f t="shared" si="14"/>
        <v>0.17142857142857143</v>
      </c>
      <c r="Y47" s="338">
        <f t="shared" si="15"/>
        <v>0.42857142857142855</v>
      </c>
    </row>
    <row r="48" spans="1:25" ht="16.5" customHeight="1" thickTop="1" thickBot="1" x14ac:dyDescent="0.3">
      <c r="A48" s="279"/>
      <c r="B48" s="551"/>
      <c r="C48" s="646"/>
      <c r="D48" s="647"/>
      <c r="E48" s="47" t="s">
        <v>316</v>
      </c>
      <c r="F48" s="32" t="s">
        <v>317</v>
      </c>
      <c r="G48" s="15">
        <v>42</v>
      </c>
      <c r="H48" s="59">
        <f>'TABLA GENERAL'!D60</f>
        <v>314</v>
      </c>
      <c r="I48" s="115">
        <f t="shared" si="16"/>
        <v>13188</v>
      </c>
      <c r="J48" s="15">
        <v>0</v>
      </c>
      <c r="K48" s="60">
        <f t="shared" si="17"/>
        <v>0</v>
      </c>
      <c r="L48" s="15">
        <v>0</v>
      </c>
      <c r="M48" s="60">
        <f t="shared" si="18"/>
        <v>0</v>
      </c>
      <c r="N48" s="15">
        <v>0</v>
      </c>
      <c r="O48" s="60">
        <f t="shared" si="19"/>
        <v>0</v>
      </c>
      <c r="P48" s="15">
        <v>14</v>
      </c>
      <c r="Q48" s="60">
        <f t="shared" si="20"/>
        <v>4396</v>
      </c>
      <c r="R48" s="18">
        <f t="shared" si="10"/>
        <v>14</v>
      </c>
      <c r="S48" s="18">
        <f t="shared" si="10"/>
        <v>4396</v>
      </c>
      <c r="U48" s="336">
        <f t="shared" si="11"/>
        <v>0</v>
      </c>
      <c r="V48" s="336">
        <f t="shared" si="12"/>
        <v>0</v>
      </c>
      <c r="W48" s="336">
        <f t="shared" si="13"/>
        <v>0</v>
      </c>
      <c r="X48" s="336">
        <f t="shared" si="14"/>
        <v>0.33333333333333331</v>
      </c>
      <c r="Y48" s="338">
        <f t="shared" si="15"/>
        <v>0.33333333333333331</v>
      </c>
    </row>
    <row r="49" spans="1:25" ht="16.5" customHeight="1" thickTop="1" thickBot="1" x14ac:dyDescent="0.3">
      <c r="A49" s="279"/>
      <c r="B49" s="551"/>
      <c r="C49" s="646"/>
      <c r="D49" s="647"/>
      <c r="E49" s="47" t="s">
        <v>318</v>
      </c>
      <c r="F49" s="32" t="s">
        <v>319</v>
      </c>
      <c r="G49" s="15">
        <v>70</v>
      </c>
      <c r="H49" s="59">
        <f>'TABLA GENERAL'!D61</f>
        <v>139.66999999999999</v>
      </c>
      <c r="I49" s="115">
        <f t="shared" si="16"/>
        <v>9776.9</v>
      </c>
      <c r="J49" s="15">
        <v>0</v>
      </c>
      <c r="K49" s="60">
        <f t="shared" si="17"/>
        <v>0</v>
      </c>
      <c r="L49" s="15">
        <v>0</v>
      </c>
      <c r="M49" s="60">
        <f t="shared" si="18"/>
        <v>0</v>
      </c>
      <c r="N49" s="15">
        <v>0</v>
      </c>
      <c r="O49" s="60">
        <f t="shared" si="19"/>
        <v>0</v>
      </c>
      <c r="P49" s="15">
        <v>10</v>
      </c>
      <c r="Q49" s="60">
        <f t="shared" si="20"/>
        <v>1396.6999999999998</v>
      </c>
      <c r="R49" s="18">
        <f t="shared" si="10"/>
        <v>10</v>
      </c>
      <c r="S49" s="18">
        <f t="shared" si="10"/>
        <v>1396.6999999999998</v>
      </c>
      <c r="U49" s="336">
        <f t="shared" si="11"/>
        <v>0</v>
      </c>
      <c r="V49" s="336">
        <f t="shared" si="12"/>
        <v>0</v>
      </c>
      <c r="W49" s="336">
        <f t="shared" si="13"/>
        <v>0</v>
      </c>
      <c r="X49" s="336">
        <f t="shared" si="14"/>
        <v>0.14285714285714285</v>
      </c>
      <c r="Y49" s="338">
        <f t="shared" si="15"/>
        <v>0.14285714285714285</v>
      </c>
    </row>
    <row r="50" spans="1:25" ht="31.5" thickTop="1" thickBot="1" x14ac:dyDescent="0.3">
      <c r="A50" s="279"/>
      <c r="B50" s="551"/>
      <c r="C50" s="646"/>
      <c r="D50" s="647"/>
      <c r="E50" s="47" t="s">
        <v>320</v>
      </c>
      <c r="F50" s="32" t="s">
        <v>321</v>
      </c>
      <c r="G50" s="15">
        <v>165</v>
      </c>
      <c r="H50" s="59">
        <f>'TABLA GENERAL'!D62</f>
        <v>315</v>
      </c>
      <c r="I50" s="115">
        <f t="shared" si="16"/>
        <v>51975</v>
      </c>
      <c r="J50" s="15">
        <v>0</v>
      </c>
      <c r="K50" s="60">
        <f t="shared" si="17"/>
        <v>0</v>
      </c>
      <c r="L50" s="15">
        <v>0</v>
      </c>
      <c r="M50" s="60">
        <f t="shared" si="18"/>
        <v>0</v>
      </c>
      <c r="N50" s="15">
        <v>0</v>
      </c>
      <c r="O50" s="60">
        <f t="shared" si="19"/>
        <v>0</v>
      </c>
      <c r="P50" s="15">
        <v>56</v>
      </c>
      <c r="Q50" s="60">
        <f t="shared" si="20"/>
        <v>17640</v>
      </c>
      <c r="R50" s="18">
        <f t="shared" si="10"/>
        <v>56</v>
      </c>
      <c r="S50" s="18">
        <f t="shared" si="10"/>
        <v>17640</v>
      </c>
      <c r="U50" s="336">
        <f t="shared" si="11"/>
        <v>0</v>
      </c>
      <c r="V50" s="336">
        <f t="shared" si="12"/>
        <v>0</v>
      </c>
      <c r="W50" s="336">
        <f t="shared" si="13"/>
        <v>0</v>
      </c>
      <c r="X50" s="336">
        <f t="shared" si="14"/>
        <v>0.33939393939393941</v>
      </c>
      <c r="Y50" s="338">
        <f t="shared" si="15"/>
        <v>0.33939393939393941</v>
      </c>
    </row>
    <row r="51" spans="1:25" ht="16.5" customHeight="1" thickTop="1" thickBot="1" x14ac:dyDescent="0.3">
      <c r="A51" s="279"/>
      <c r="B51" s="551"/>
      <c r="C51" s="646"/>
      <c r="D51" s="647"/>
      <c r="E51" s="47" t="s">
        <v>322</v>
      </c>
      <c r="F51" s="32" t="s">
        <v>323</v>
      </c>
      <c r="G51" s="15">
        <v>6</v>
      </c>
      <c r="H51" s="59">
        <f>'TABLA GENERAL'!D63</f>
        <v>250</v>
      </c>
      <c r="I51" s="115">
        <f t="shared" si="16"/>
        <v>1500</v>
      </c>
      <c r="J51" s="15">
        <v>0</v>
      </c>
      <c r="K51" s="60">
        <f t="shared" si="17"/>
        <v>0</v>
      </c>
      <c r="L51" s="15">
        <v>0</v>
      </c>
      <c r="M51" s="60">
        <f t="shared" si="18"/>
        <v>0</v>
      </c>
      <c r="N51" s="15">
        <v>0</v>
      </c>
      <c r="O51" s="60">
        <f t="shared" si="19"/>
        <v>0</v>
      </c>
      <c r="P51" s="15">
        <v>6</v>
      </c>
      <c r="Q51" s="60">
        <f t="shared" si="20"/>
        <v>1500</v>
      </c>
      <c r="R51" s="18">
        <f t="shared" si="10"/>
        <v>6</v>
      </c>
      <c r="S51" s="18">
        <f t="shared" si="10"/>
        <v>1500</v>
      </c>
      <c r="U51" s="336">
        <f t="shared" si="11"/>
        <v>0</v>
      </c>
      <c r="V51" s="336">
        <f t="shared" si="12"/>
        <v>0</v>
      </c>
      <c r="W51" s="336">
        <f t="shared" si="13"/>
        <v>0</v>
      </c>
      <c r="X51" s="336">
        <f t="shared" si="14"/>
        <v>1</v>
      </c>
      <c r="Y51" s="338">
        <f t="shared" si="15"/>
        <v>1</v>
      </c>
    </row>
    <row r="52" spans="1:25" ht="16.5" customHeight="1" thickTop="1" thickBot="1" x14ac:dyDescent="0.3">
      <c r="A52" s="279"/>
      <c r="B52" s="551"/>
      <c r="C52" s="646"/>
      <c r="D52" s="647"/>
      <c r="E52" s="47" t="s">
        <v>324</v>
      </c>
      <c r="F52" s="32" t="s">
        <v>325</v>
      </c>
      <c r="G52" s="15">
        <v>4</v>
      </c>
      <c r="H52" s="59">
        <f>'TABLA GENERAL'!D66</f>
        <v>34</v>
      </c>
      <c r="I52" s="115">
        <f t="shared" si="16"/>
        <v>136</v>
      </c>
      <c r="J52" s="15">
        <v>0</v>
      </c>
      <c r="K52" s="60">
        <f t="shared" si="17"/>
        <v>0</v>
      </c>
      <c r="L52" s="15">
        <v>0</v>
      </c>
      <c r="M52" s="60">
        <f t="shared" si="18"/>
        <v>0</v>
      </c>
      <c r="N52" s="15">
        <v>0</v>
      </c>
      <c r="O52" s="60">
        <f t="shared" si="19"/>
        <v>0</v>
      </c>
      <c r="P52" s="15">
        <v>4</v>
      </c>
      <c r="Q52" s="60">
        <f t="shared" si="20"/>
        <v>136</v>
      </c>
      <c r="R52" s="18">
        <f t="shared" si="10"/>
        <v>4</v>
      </c>
      <c r="S52" s="18">
        <f t="shared" si="10"/>
        <v>136</v>
      </c>
      <c r="U52" s="336">
        <f t="shared" si="11"/>
        <v>0</v>
      </c>
      <c r="V52" s="336">
        <f t="shared" si="12"/>
        <v>0</v>
      </c>
      <c r="W52" s="336">
        <f t="shared" si="13"/>
        <v>0</v>
      </c>
      <c r="X52" s="336">
        <f t="shared" si="14"/>
        <v>1</v>
      </c>
      <c r="Y52" s="338">
        <f t="shared" si="15"/>
        <v>1</v>
      </c>
    </row>
    <row r="53" spans="1:25" ht="31.5" thickTop="1" thickBot="1" x14ac:dyDescent="0.3">
      <c r="A53" s="279"/>
      <c r="B53" s="551"/>
      <c r="C53" s="646"/>
      <c r="D53" s="647"/>
      <c r="E53" s="47" t="s">
        <v>326</v>
      </c>
      <c r="F53" s="32" t="s">
        <v>327</v>
      </c>
      <c r="G53" s="15">
        <v>10</v>
      </c>
      <c r="H53" s="59">
        <f>'TABLA GENERAL'!D67</f>
        <v>2800</v>
      </c>
      <c r="I53" s="115">
        <f t="shared" si="16"/>
        <v>28000</v>
      </c>
      <c r="J53" s="15">
        <v>0</v>
      </c>
      <c r="K53" s="60">
        <f t="shared" si="17"/>
        <v>0</v>
      </c>
      <c r="L53" s="15">
        <v>0</v>
      </c>
      <c r="M53" s="60">
        <f t="shared" si="18"/>
        <v>0</v>
      </c>
      <c r="N53" s="15">
        <v>0</v>
      </c>
      <c r="O53" s="60">
        <f t="shared" si="19"/>
        <v>0</v>
      </c>
      <c r="P53" s="15">
        <v>8</v>
      </c>
      <c r="Q53" s="60">
        <f t="shared" si="20"/>
        <v>22400</v>
      </c>
      <c r="R53" s="18">
        <f t="shared" si="10"/>
        <v>8</v>
      </c>
      <c r="S53" s="18">
        <f t="shared" si="10"/>
        <v>22400</v>
      </c>
      <c r="U53" s="336">
        <f t="shared" si="11"/>
        <v>0</v>
      </c>
      <c r="V53" s="336">
        <f t="shared" si="12"/>
        <v>0</v>
      </c>
      <c r="W53" s="336">
        <f t="shared" si="13"/>
        <v>0</v>
      </c>
      <c r="X53" s="336">
        <f t="shared" si="14"/>
        <v>0.8</v>
      </c>
      <c r="Y53" s="338">
        <f t="shared" si="15"/>
        <v>0.8</v>
      </c>
    </row>
    <row r="54" spans="1:25" ht="16.5" customHeight="1" thickTop="1" thickBot="1" x14ac:dyDescent="0.3">
      <c r="A54" s="279"/>
      <c r="B54" s="551"/>
      <c r="C54" s="646"/>
      <c r="D54" s="647"/>
      <c r="E54" s="47" t="s">
        <v>328</v>
      </c>
      <c r="F54" s="32" t="s">
        <v>329</v>
      </c>
      <c r="G54" s="15">
        <v>20</v>
      </c>
      <c r="H54" s="59">
        <f>'TABLA GENERAL'!D68</f>
        <v>2500</v>
      </c>
      <c r="I54" s="115">
        <f t="shared" si="16"/>
        <v>50000</v>
      </c>
      <c r="J54" s="15">
        <v>0</v>
      </c>
      <c r="K54" s="60">
        <f t="shared" si="17"/>
        <v>0</v>
      </c>
      <c r="L54" s="15">
        <v>0</v>
      </c>
      <c r="M54" s="60">
        <f t="shared" si="18"/>
        <v>0</v>
      </c>
      <c r="N54" s="15">
        <v>0</v>
      </c>
      <c r="O54" s="60">
        <f t="shared" si="19"/>
        <v>0</v>
      </c>
      <c r="P54" s="15">
        <v>8</v>
      </c>
      <c r="Q54" s="60">
        <f t="shared" si="20"/>
        <v>20000</v>
      </c>
      <c r="R54" s="18">
        <f t="shared" si="10"/>
        <v>8</v>
      </c>
      <c r="S54" s="18">
        <f t="shared" si="10"/>
        <v>20000</v>
      </c>
      <c r="U54" s="336">
        <f t="shared" si="11"/>
        <v>0</v>
      </c>
      <c r="V54" s="336">
        <f t="shared" si="12"/>
        <v>0</v>
      </c>
      <c r="W54" s="336">
        <f t="shared" si="13"/>
        <v>0</v>
      </c>
      <c r="X54" s="336">
        <f t="shared" si="14"/>
        <v>0.4</v>
      </c>
      <c r="Y54" s="338">
        <f t="shared" si="15"/>
        <v>0.4</v>
      </c>
    </row>
    <row r="55" spans="1:25" ht="16.5" customHeight="1" thickTop="1" thickBot="1" x14ac:dyDescent="0.3">
      <c r="A55" s="279"/>
      <c r="B55" s="551"/>
      <c r="C55" s="646"/>
      <c r="D55" s="647"/>
      <c r="E55" s="47" t="s">
        <v>330</v>
      </c>
      <c r="F55" s="32" t="s">
        <v>331</v>
      </c>
      <c r="G55" s="15">
        <v>56</v>
      </c>
      <c r="H55" s="59">
        <f>'TABLA GENERAL'!D69</f>
        <v>712</v>
      </c>
      <c r="I55" s="115">
        <f t="shared" si="16"/>
        <v>39872</v>
      </c>
      <c r="J55" s="15">
        <v>12</v>
      </c>
      <c r="K55" s="60">
        <f t="shared" si="17"/>
        <v>8544</v>
      </c>
      <c r="L55" s="15">
        <v>0</v>
      </c>
      <c r="M55" s="60">
        <f t="shared" si="18"/>
        <v>0</v>
      </c>
      <c r="N55" s="15">
        <v>0</v>
      </c>
      <c r="O55" s="60">
        <f t="shared" si="19"/>
        <v>0</v>
      </c>
      <c r="P55" s="15">
        <v>42</v>
      </c>
      <c r="Q55" s="60">
        <f t="shared" si="20"/>
        <v>29904</v>
      </c>
      <c r="R55" s="18">
        <f t="shared" si="10"/>
        <v>54</v>
      </c>
      <c r="S55" s="18">
        <f t="shared" si="10"/>
        <v>38448</v>
      </c>
      <c r="U55" s="336">
        <f t="shared" si="11"/>
        <v>0.21428571428571427</v>
      </c>
      <c r="V55" s="336">
        <f t="shared" si="12"/>
        <v>0</v>
      </c>
      <c r="W55" s="336">
        <f t="shared" si="13"/>
        <v>0</v>
      </c>
      <c r="X55" s="336">
        <f t="shared" si="14"/>
        <v>0.75</v>
      </c>
      <c r="Y55" s="338">
        <f t="shared" si="15"/>
        <v>0.9642857142857143</v>
      </c>
    </row>
    <row r="56" spans="1:25" ht="31.5" thickTop="1" thickBot="1" x14ac:dyDescent="0.3">
      <c r="A56" s="279"/>
      <c r="B56" s="551"/>
      <c r="C56" s="648"/>
      <c r="D56" s="649"/>
      <c r="E56" s="47" t="s">
        <v>90</v>
      </c>
      <c r="F56" s="32" t="s">
        <v>89</v>
      </c>
      <c r="G56" s="15">
        <v>28</v>
      </c>
      <c r="H56" s="59">
        <f>'TABLA GENERAL'!D70</f>
        <v>52896</v>
      </c>
      <c r="I56" s="115">
        <f t="shared" si="16"/>
        <v>1481088</v>
      </c>
      <c r="J56" s="15">
        <v>0</v>
      </c>
      <c r="K56" s="60">
        <f t="shared" si="17"/>
        <v>0</v>
      </c>
      <c r="L56" s="15">
        <v>0</v>
      </c>
      <c r="M56" s="60">
        <f t="shared" si="18"/>
        <v>0</v>
      </c>
      <c r="N56" s="15">
        <v>0</v>
      </c>
      <c r="O56" s="60">
        <f t="shared" si="19"/>
        <v>0</v>
      </c>
      <c r="P56" s="15">
        <v>0</v>
      </c>
      <c r="Q56" s="60">
        <f t="shared" si="20"/>
        <v>0</v>
      </c>
      <c r="R56" s="18">
        <f t="shared" si="10"/>
        <v>0</v>
      </c>
      <c r="S56" s="18">
        <f t="shared" si="10"/>
        <v>0</v>
      </c>
      <c r="U56" s="336">
        <f t="shared" si="11"/>
        <v>0</v>
      </c>
      <c r="V56" s="336">
        <f t="shared" si="12"/>
        <v>0</v>
      </c>
      <c r="W56" s="336">
        <f t="shared" si="13"/>
        <v>0</v>
      </c>
      <c r="X56" s="336">
        <f t="shared" si="14"/>
        <v>0</v>
      </c>
      <c r="Y56" s="338">
        <f t="shared" si="15"/>
        <v>0</v>
      </c>
    </row>
    <row r="57" spans="1:25" ht="16.5" customHeight="1" thickTop="1" thickBot="1" x14ac:dyDescent="0.3">
      <c r="A57" s="279"/>
      <c r="B57" s="551"/>
      <c r="C57" s="627" t="s">
        <v>332</v>
      </c>
      <c r="D57" s="650"/>
      <c r="E57" s="56" t="s">
        <v>333</v>
      </c>
      <c r="F57" s="32" t="s">
        <v>334</v>
      </c>
      <c r="G57" s="15">
        <v>10</v>
      </c>
      <c r="H57" s="59">
        <f>'TABLA GENERAL'!D71</f>
        <v>2156</v>
      </c>
      <c r="I57" s="115">
        <f t="shared" si="16"/>
        <v>21560</v>
      </c>
      <c r="J57" s="15">
        <v>0</v>
      </c>
      <c r="K57" s="60">
        <f t="shared" si="17"/>
        <v>0</v>
      </c>
      <c r="L57" s="15">
        <v>0</v>
      </c>
      <c r="M57" s="60">
        <f t="shared" si="18"/>
        <v>0</v>
      </c>
      <c r="N57" s="15">
        <v>0</v>
      </c>
      <c r="O57" s="60">
        <f t="shared" si="19"/>
        <v>0</v>
      </c>
      <c r="P57" s="15">
        <v>2</v>
      </c>
      <c r="Q57" s="60">
        <f t="shared" si="20"/>
        <v>4312</v>
      </c>
      <c r="R57" s="18">
        <f t="shared" si="10"/>
        <v>2</v>
      </c>
      <c r="S57" s="18">
        <f t="shared" si="10"/>
        <v>4312</v>
      </c>
      <c r="U57" s="336">
        <f t="shared" si="11"/>
        <v>0</v>
      </c>
      <c r="V57" s="336">
        <f t="shared" si="12"/>
        <v>0</v>
      </c>
      <c r="W57" s="336">
        <f t="shared" si="13"/>
        <v>0</v>
      </c>
      <c r="X57" s="336">
        <f t="shared" si="14"/>
        <v>0.2</v>
      </c>
      <c r="Y57" s="338">
        <f t="shared" si="15"/>
        <v>0.2</v>
      </c>
    </row>
    <row r="58" spans="1:25" ht="16.5" customHeight="1" thickTop="1" thickBot="1" x14ac:dyDescent="0.3">
      <c r="A58" s="279"/>
      <c r="B58" s="551"/>
      <c r="C58" s="629"/>
      <c r="D58" s="639"/>
      <c r="E58" s="56" t="s">
        <v>335</v>
      </c>
      <c r="F58" s="32" t="s">
        <v>336</v>
      </c>
      <c r="G58" s="15">
        <v>26</v>
      </c>
      <c r="H58" s="59">
        <f>'TABLA GENERAL'!D72</f>
        <v>340.34</v>
      </c>
      <c r="I58" s="115">
        <f t="shared" si="16"/>
        <v>8848.84</v>
      </c>
      <c r="J58" s="15">
        <v>0</v>
      </c>
      <c r="K58" s="60">
        <f t="shared" si="17"/>
        <v>0</v>
      </c>
      <c r="L58" s="15">
        <v>0</v>
      </c>
      <c r="M58" s="60">
        <f t="shared" si="18"/>
        <v>0</v>
      </c>
      <c r="N58" s="15">
        <v>0</v>
      </c>
      <c r="O58" s="60">
        <f t="shared" si="19"/>
        <v>0</v>
      </c>
      <c r="P58" s="15">
        <v>14</v>
      </c>
      <c r="Q58" s="60">
        <f t="shared" si="20"/>
        <v>4764.7599999999993</v>
      </c>
      <c r="R58" s="18">
        <f t="shared" si="10"/>
        <v>14</v>
      </c>
      <c r="S58" s="18">
        <f t="shared" si="10"/>
        <v>4764.7599999999993</v>
      </c>
      <c r="U58" s="336">
        <f t="shared" si="11"/>
        <v>0</v>
      </c>
      <c r="V58" s="336">
        <f t="shared" si="12"/>
        <v>0</v>
      </c>
      <c r="W58" s="336">
        <f t="shared" si="13"/>
        <v>0</v>
      </c>
      <c r="X58" s="336">
        <f t="shared" si="14"/>
        <v>0.53846153846153844</v>
      </c>
      <c r="Y58" s="338">
        <f t="shared" si="15"/>
        <v>0.53846153846153844</v>
      </c>
    </row>
    <row r="59" spans="1:25" ht="16.5" customHeight="1" thickTop="1" thickBot="1" x14ac:dyDescent="0.3">
      <c r="A59" s="279"/>
      <c r="B59" s="551"/>
      <c r="C59" s="629"/>
      <c r="D59" s="639"/>
      <c r="E59" s="56" t="s">
        <v>337</v>
      </c>
      <c r="F59" s="32" t="s">
        <v>338</v>
      </c>
      <c r="G59" s="15">
        <v>56</v>
      </c>
      <c r="H59" s="59">
        <f>'TABLA GENERAL'!D73</f>
        <v>119.36</v>
      </c>
      <c r="I59" s="115">
        <f t="shared" si="16"/>
        <v>6684.16</v>
      </c>
      <c r="J59" s="15">
        <v>0</v>
      </c>
      <c r="K59" s="60">
        <f t="shared" si="17"/>
        <v>0</v>
      </c>
      <c r="L59" s="15">
        <v>0</v>
      </c>
      <c r="M59" s="60">
        <f t="shared" si="18"/>
        <v>0</v>
      </c>
      <c r="N59" s="15">
        <v>0</v>
      </c>
      <c r="O59" s="60">
        <f t="shared" si="19"/>
        <v>0</v>
      </c>
      <c r="P59" s="15">
        <v>28</v>
      </c>
      <c r="Q59" s="60">
        <f t="shared" si="20"/>
        <v>3342.08</v>
      </c>
      <c r="R59" s="18">
        <f t="shared" si="10"/>
        <v>28</v>
      </c>
      <c r="S59" s="18">
        <f t="shared" si="10"/>
        <v>3342.08</v>
      </c>
      <c r="U59" s="336">
        <f t="shared" si="11"/>
        <v>0</v>
      </c>
      <c r="V59" s="336">
        <f t="shared" si="12"/>
        <v>0</v>
      </c>
      <c r="W59" s="336">
        <f t="shared" si="13"/>
        <v>0</v>
      </c>
      <c r="X59" s="336">
        <f t="shared" si="14"/>
        <v>0.5</v>
      </c>
      <c r="Y59" s="338">
        <f t="shared" si="15"/>
        <v>0.5</v>
      </c>
    </row>
    <row r="60" spans="1:25" ht="16.5" customHeight="1" thickTop="1" thickBot="1" x14ac:dyDescent="0.3">
      <c r="A60" s="279"/>
      <c r="B60" s="551"/>
      <c r="C60" s="629"/>
      <c r="D60" s="639"/>
      <c r="E60" s="56" t="s">
        <v>339</v>
      </c>
      <c r="F60" s="32" t="s">
        <v>340</v>
      </c>
      <c r="G60" s="15">
        <v>8</v>
      </c>
      <c r="H60" s="59">
        <f>'TABLA GENERAL'!D74</f>
        <v>35.51</v>
      </c>
      <c r="I60" s="115">
        <f t="shared" si="16"/>
        <v>284.08</v>
      </c>
      <c r="J60" s="15">
        <v>0</v>
      </c>
      <c r="K60" s="60">
        <f t="shared" si="17"/>
        <v>0</v>
      </c>
      <c r="L60" s="15">
        <v>0</v>
      </c>
      <c r="M60" s="60">
        <f t="shared" si="18"/>
        <v>0</v>
      </c>
      <c r="N60" s="15">
        <v>0</v>
      </c>
      <c r="O60" s="60">
        <f t="shared" si="19"/>
        <v>0</v>
      </c>
      <c r="P60" s="15">
        <v>8</v>
      </c>
      <c r="Q60" s="60">
        <f t="shared" si="20"/>
        <v>284.08</v>
      </c>
      <c r="R60" s="18">
        <f t="shared" ref="R60:S108" si="21">P60+N60+L60+J60</f>
        <v>8</v>
      </c>
      <c r="S60" s="18">
        <f t="shared" si="21"/>
        <v>284.08</v>
      </c>
      <c r="U60" s="336">
        <f t="shared" si="11"/>
        <v>0</v>
      </c>
      <c r="V60" s="336">
        <f t="shared" si="12"/>
        <v>0</v>
      </c>
      <c r="W60" s="336">
        <f t="shared" si="13"/>
        <v>0</v>
      </c>
      <c r="X60" s="336">
        <f t="shared" si="14"/>
        <v>1</v>
      </c>
      <c r="Y60" s="338">
        <f t="shared" si="15"/>
        <v>1</v>
      </c>
    </row>
    <row r="61" spans="1:25" ht="16.5" customHeight="1" thickTop="1" thickBot="1" x14ac:dyDescent="0.3">
      <c r="A61" s="279"/>
      <c r="B61" s="551"/>
      <c r="C61" s="629"/>
      <c r="D61" s="639"/>
      <c r="E61" s="56" t="s">
        <v>341</v>
      </c>
      <c r="F61" s="32" t="s">
        <v>342</v>
      </c>
      <c r="G61" s="15">
        <v>24</v>
      </c>
      <c r="H61" s="59">
        <f>'TABLA GENERAL'!D75</f>
        <v>313</v>
      </c>
      <c r="I61" s="115">
        <f t="shared" si="16"/>
        <v>7512</v>
      </c>
      <c r="J61" s="15">
        <v>0</v>
      </c>
      <c r="K61" s="60">
        <f t="shared" si="17"/>
        <v>0</v>
      </c>
      <c r="L61" s="15">
        <v>0</v>
      </c>
      <c r="M61" s="60">
        <f t="shared" si="18"/>
        <v>0</v>
      </c>
      <c r="N61" s="15">
        <v>0</v>
      </c>
      <c r="O61" s="60">
        <f t="shared" si="19"/>
        <v>0</v>
      </c>
      <c r="P61" s="15">
        <v>14</v>
      </c>
      <c r="Q61" s="60">
        <f t="shared" si="20"/>
        <v>4382</v>
      </c>
      <c r="R61" s="18">
        <f t="shared" si="21"/>
        <v>14</v>
      </c>
      <c r="S61" s="18">
        <f t="shared" si="21"/>
        <v>4382</v>
      </c>
      <c r="U61" s="336">
        <f t="shared" si="11"/>
        <v>0</v>
      </c>
      <c r="V61" s="336">
        <f t="shared" si="12"/>
        <v>0</v>
      </c>
      <c r="W61" s="336">
        <f t="shared" si="13"/>
        <v>0</v>
      </c>
      <c r="X61" s="336">
        <f t="shared" si="14"/>
        <v>0.58333333333333337</v>
      </c>
      <c r="Y61" s="338">
        <f t="shared" si="15"/>
        <v>0.58333333333333337</v>
      </c>
    </row>
    <row r="62" spans="1:25" ht="16.5" customHeight="1" thickTop="1" thickBot="1" x14ac:dyDescent="0.3">
      <c r="A62" s="279"/>
      <c r="B62" s="551"/>
      <c r="C62" s="629"/>
      <c r="D62" s="639"/>
      <c r="E62" s="56" t="s">
        <v>343</v>
      </c>
      <c r="F62" s="32" t="s">
        <v>344</v>
      </c>
      <c r="G62" s="15">
        <v>24</v>
      </c>
      <c r="H62" s="59">
        <f>'TABLA GENERAL'!D76</f>
        <v>198.21</v>
      </c>
      <c r="I62" s="115">
        <f t="shared" si="16"/>
        <v>4757.04</v>
      </c>
      <c r="J62" s="15">
        <v>0</v>
      </c>
      <c r="K62" s="60">
        <f t="shared" si="17"/>
        <v>0</v>
      </c>
      <c r="L62" s="15">
        <v>0</v>
      </c>
      <c r="M62" s="60">
        <f t="shared" si="18"/>
        <v>0</v>
      </c>
      <c r="N62" s="15">
        <v>0</v>
      </c>
      <c r="O62" s="60">
        <f t="shared" si="19"/>
        <v>0</v>
      </c>
      <c r="P62" s="15">
        <v>14</v>
      </c>
      <c r="Q62" s="60">
        <f t="shared" si="20"/>
        <v>2774.94</v>
      </c>
      <c r="R62" s="18">
        <f t="shared" si="21"/>
        <v>14</v>
      </c>
      <c r="S62" s="18">
        <f t="shared" si="21"/>
        <v>2774.94</v>
      </c>
      <c r="U62" s="336">
        <f t="shared" si="11"/>
        <v>0</v>
      </c>
      <c r="V62" s="336">
        <f t="shared" si="12"/>
        <v>0</v>
      </c>
      <c r="W62" s="336">
        <f t="shared" si="13"/>
        <v>0</v>
      </c>
      <c r="X62" s="336">
        <f t="shared" si="14"/>
        <v>0.58333333333333337</v>
      </c>
      <c r="Y62" s="338">
        <f t="shared" si="15"/>
        <v>0.58333333333333337</v>
      </c>
    </row>
    <row r="63" spans="1:25" ht="16.5" customHeight="1" thickTop="1" thickBot="1" x14ac:dyDescent="0.3">
      <c r="A63" s="279"/>
      <c r="B63" s="551"/>
      <c r="C63" s="629"/>
      <c r="D63" s="639"/>
      <c r="E63" s="56" t="s">
        <v>345</v>
      </c>
      <c r="F63" s="32" t="s">
        <v>346</v>
      </c>
      <c r="G63" s="20">
        <v>28</v>
      </c>
      <c r="H63" s="123">
        <f>'TABLA GENERAL'!D77</f>
        <v>660.47</v>
      </c>
      <c r="I63" s="115">
        <f t="shared" si="16"/>
        <v>18493.16</v>
      </c>
      <c r="J63" s="20">
        <v>0</v>
      </c>
      <c r="K63" s="60">
        <f t="shared" si="17"/>
        <v>0</v>
      </c>
      <c r="L63" s="15">
        <v>0</v>
      </c>
      <c r="M63" s="60">
        <f t="shared" si="18"/>
        <v>0</v>
      </c>
      <c r="N63" s="15">
        <v>0</v>
      </c>
      <c r="O63" s="60">
        <f t="shared" si="19"/>
        <v>0</v>
      </c>
      <c r="P63" s="20">
        <v>14</v>
      </c>
      <c r="Q63" s="60">
        <f t="shared" si="20"/>
        <v>9246.58</v>
      </c>
      <c r="R63" s="18">
        <f t="shared" si="21"/>
        <v>14</v>
      </c>
      <c r="S63" s="18">
        <f t="shared" si="21"/>
        <v>9246.58</v>
      </c>
      <c r="U63" s="336">
        <f t="shared" si="11"/>
        <v>0</v>
      </c>
      <c r="V63" s="336">
        <f t="shared" si="12"/>
        <v>0</v>
      </c>
      <c r="W63" s="336">
        <f t="shared" si="13"/>
        <v>0</v>
      </c>
      <c r="X63" s="336">
        <f t="shared" si="14"/>
        <v>0.5</v>
      </c>
      <c r="Y63" s="338">
        <f t="shared" si="15"/>
        <v>0.5</v>
      </c>
    </row>
    <row r="64" spans="1:25" ht="16.5" customHeight="1" thickTop="1" thickBot="1" x14ac:dyDescent="0.3">
      <c r="A64" s="279"/>
      <c r="B64" s="551"/>
      <c r="C64" s="629"/>
      <c r="D64" s="639"/>
      <c r="E64" s="56" t="s">
        <v>347</v>
      </c>
      <c r="F64" s="32" t="s">
        <v>348</v>
      </c>
      <c r="G64" s="20">
        <v>56</v>
      </c>
      <c r="H64" s="123">
        <f>'TABLA GENERAL'!D78</f>
        <v>27.57</v>
      </c>
      <c r="I64" s="115">
        <f t="shared" si="16"/>
        <v>1543.92</v>
      </c>
      <c r="J64" s="20">
        <v>0</v>
      </c>
      <c r="K64" s="60">
        <f t="shared" si="17"/>
        <v>0</v>
      </c>
      <c r="L64" s="15">
        <v>0</v>
      </c>
      <c r="M64" s="60">
        <f t="shared" si="18"/>
        <v>0</v>
      </c>
      <c r="N64" s="15">
        <v>0</v>
      </c>
      <c r="O64" s="60">
        <f t="shared" si="19"/>
        <v>0</v>
      </c>
      <c r="P64" s="20">
        <v>28</v>
      </c>
      <c r="Q64" s="60">
        <f t="shared" si="20"/>
        <v>771.96</v>
      </c>
      <c r="R64" s="18">
        <f t="shared" si="21"/>
        <v>28</v>
      </c>
      <c r="S64" s="18">
        <f t="shared" si="21"/>
        <v>771.96</v>
      </c>
      <c r="U64" s="336">
        <f t="shared" si="11"/>
        <v>0</v>
      </c>
      <c r="V64" s="336">
        <f t="shared" si="12"/>
        <v>0</v>
      </c>
      <c r="W64" s="336">
        <f t="shared" si="13"/>
        <v>0</v>
      </c>
      <c r="X64" s="336">
        <f t="shared" si="14"/>
        <v>0.5</v>
      </c>
      <c r="Y64" s="338">
        <f t="shared" si="15"/>
        <v>0.5</v>
      </c>
    </row>
    <row r="65" spans="1:25" ht="16.5" customHeight="1" thickTop="1" thickBot="1" x14ac:dyDescent="0.3">
      <c r="A65" s="279"/>
      <c r="B65" s="551"/>
      <c r="C65" s="629"/>
      <c r="D65" s="639"/>
      <c r="E65" s="56" t="s">
        <v>349</v>
      </c>
      <c r="F65" s="32" t="s">
        <v>350</v>
      </c>
      <c r="G65" s="20">
        <v>12</v>
      </c>
      <c r="H65" s="123">
        <f>'TABLA GENERAL'!D79</f>
        <v>153.30307692307693</v>
      </c>
      <c r="I65" s="115">
        <f t="shared" si="16"/>
        <v>1839.6369230769233</v>
      </c>
      <c r="J65" s="20">
        <v>0</v>
      </c>
      <c r="K65" s="60">
        <f t="shared" si="17"/>
        <v>0</v>
      </c>
      <c r="L65" s="15">
        <v>0</v>
      </c>
      <c r="M65" s="60">
        <f t="shared" si="18"/>
        <v>0</v>
      </c>
      <c r="N65" s="15">
        <v>0</v>
      </c>
      <c r="O65" s="60">
        <f t="shared" si="19"/>
        <v>0</v>
      </c>
      <c r="P65" s="20">
        <v>10</v>
      </c>
      <c r="Q65" s="60">
        <f t="shared" si="20"/>
        <v>1533.0307692307692</v>
      </c>
      <c r="R65" s="18">
        <f t="shared" si="21"/>
        <v>10</v>
      </c>
      <c r="S65" s="18">
        <f t="shared" si="21"/>
        <v>1533.0307692307692</v>
      </c>
      <c r="U65" s="336">
        <f t="shared" si="11"/>
        <v>0</v>
      </c>
      <c r="V65" s="336">
        <f t="shared" si="12"/>
        <v>0</v>
      </c>
      <c r="W65" s="336">
        <f t="shared" si="13"/>
        <v>0</v>
      </c>
      <c r="X65" s="336">
        <f t="shared" si="14"/>
        <v>0.83333333333333337</v>
      </c>
      <c r="Y65" s="338">
        <f t="shared" si="15"/>
        <v>0.83333333333333337</v>
      </c>
    </row>
    <row r="66" spans="1:25" ht="16.5" customHeight="1" thickTop="1" thickBot="1" x14ac:dyDescent="0.3">
      <c r="A66" s="279"/>
      <c r="B66" s="551"/>
      <c r="C66" s="629"/>
      <c r="D66" s="639"/>
      <c r="E66" s="56" t="s">
        <v>351</v>
      </c>
      <c r="F66" s="32" t="s">
        <v>352</v>
      </c>
      <c r="G66" s="20">
        <v>8</v>
      </c>
      <c r="H66" s="123">
        <f>'TABLA GENERAL'!D80</f>
        <v>153.30307692307693</v>
      </c>
      <c r="I66" s="115">
        <f t="shared" si="16"/>
        <v>1226.4246153846154</v>
      </c>
      <c r="J66" s="20">
        <v>0</v>
      </c>
      <c r="K66" s="60">
        <f t="shared" si="17"/>
        <v>0</v>
      </c>
      <c r="L66" s="15">
        <v>0</v>
      </c>
      <c r="M66" s="60">
        <f t="shared" si="18"/>
        <v>0</v>
      </c>
      <c r="N66" s="15">
        <v>0</v>
      </c>
      <c r="O66" s="60">
        <f t="shared" si="19"/>
        <v>0</v>
      </c>
      <c r="P66" s="20">
        <v>8</v>
      </c>
      <c r="Q66" s="60">
        <f t="shared" si="20"/>
        <v>1226.4246153846154</v>
      </c>
      <c r="R66" s="18">
        <f t="shared" si="21"/>
        <v>8</v>
      </c>
      <c r="S66" s="18">
        <f t="shared" si="21"/>
        <v>1226.4246153846154</v>
      </c>
      <c r="U66" s="336">
        <f t="shared" si="11"/>
        <v>0</v>
      </c>
      <c r="V66" s="336">
        <f t="shared" si="12"/>
        <v>0</v>
      </c>
      <c r="W66" s="336">
        <f t="shared" si="13"/>
        <v>0</v>
      </c>
      <c r="X66" s="336">
        <f t="shared" si="14"/>
        <v>1</v>
      </c>
      <c r="Y66" s="338">
        <f t="shared" si="15"/>
        <v>1</v>
      </c>
    </row>
    <row r="67" spans="1:25" ht="16.5" customHeight="1" thickTop="1" thickBot="1" x14ac:dyDescent="0.3">
      <c r="A67" s="279"/>
      <c r="B67" s="551"/>
      <c r="C67" s="629"/>
      <c r="D67" s="639"/>
      <c r="E67" s="56" t="s">
        <v>353</v>
      </c>
      <c r="F67" s="32" t="s">
        <v>354</v>
      </c>
      <c r="G67" s="20">
        <v>4</v>
      </c>
      <c r="H67" s="123">
        <f>'TABLA GENERAL'!D81</f>
        <v>3218</v>
      </c>
      <c r="I67" s="115">
        <f t="shared" si="16"/>
        <v>12872</v>
      </c>
      <c r="J67" s="20">
        <v>0</v>
      </c>
      <c r="K67" s="60">
        <f t="shared" si="17"/>
        <v>0</v>
      </c>
      <c r="L67" s="15">
        <v>0</v>
      </c>
      <c r="M67" s="60">
        <f t="shared" si="18"/>
        <v>0</v>
      </c>
      <c r="N67" s="15">
        <v>0</v>
      </c>
      <c r="O67" s="60">
        <f t="shared" si="19"/>
        <v>0</v>
      </c>
      <c r="P67" s="20">
        <v>2</v>
      </c>
      <c r="Q67" s="60">
        <f t="shared" si="20"/>
        <v>6436</v>
      </c>
      <c r="R67" s="18">
        <f t="shared" si="21"/>
        <v>2</v>
      </c>
      <c r="S67" s="18">
        <f t="shared" si="21"/>
        <v>6436</v>
      </c>
      <c r="U67" s="336">
        <f t="shared" si="11"/>
        <v>0</v>
      </c>
      <c r="V67" s="336">
        <f t="shared" si="12"/>
        <v>0</v>
      </c>
      <c r="W67" s="336">
        <f t="shared" si="13"/>
        <v>0</v>
      </c>
      <c r="X67" s="336">
        <f t="shared" si="14"/>
        <v>0.5</v>
      </c>
      <c r="Y67" s="338">
        <f t="shared" si="15"/>
        <v>0.5</v>
      </c>
    </row>
    <row r="68" spans="1:25" ht="16.5" customHeight="1" thickTop="1" thickBot="1" x14ac:dyDescent="0.3">
      <c r="A68" s="279"/>
      <c r="B68" s="551"/>
      <c r="C68" s="629"/>
      <c r="D68" s="639"/>
      <c r="E68" s="56" t="s">
        <v>355</v>
      </c>
      <c r="F68" s="32" t="s">
        <v>356</v>
      </c>
      <c r="G68" s="20">
        <v>56</v>
      </c>
      <c r="H68" s="123">
        <f>'TABLA GENERAL'!D82</f>
        <v>64.36</v>
      </c>
      <c r="I68" s="115">
        <f t="shared" si="16"/>
        <v>3604.16</v>
      </c>
      <c r="J68" s="20">
        <v>0</v>
      </c>
      <c r="K68" s="60">
        <f t="shared" si="17"/>
        <v>0</v>
      </c>
      <c r="L68" s="15">
        <v>0</v>
      </c>
      <c r="M68" s="60">
        <f t="shared" si="18"/>
        <v>0</v>
      </c>
      <c r="N68" s="15">
        <v>0</v>
      </c>
      <c r="O68" s="60">
        <f t="shared" si="19"/>
        <v>0</v>
      </c>
      <c r="P68" s="20">
        <v>28</v>
      </c>
      <c r="Q68" s="60">
        <f t="shared" si="20"/>
        <v>1802.08</v>
      </c>
      <c r="R68" s="18">
        <f t="shared" si="21"/>
        <v>28</v>
      </c>
      <c r="S68" s="18">
        <f t="shared" si="21"/>
        <v>1802.08</v>
      </c>
      <c r="U68" s="336">
        <f t="shared" si="11"/>
        <v>0</v>
      </c>
      <c r="V68" s="336">
        <f t="shared" si="12"/>
        <v>0</v>
      </c>
      <c r="W68" s="336">
        <f t="shared" si="13"/>
        <v>0</v>
      </c>
      <c r="X68" s="336">
        <f t="shared" si="14"/>
        <v>0.5</v>
      </c>
      <c r="Y68" s="338">
        <f t="shared" si="15"/>
        <v>0.5</v>
      </c>
    </row>
    <row r="69" spans="1:25" ht="16.5" customHeight="1" thickTop="1" thickBot="1" x14ac:dyDescent="0.3">
      <c r="A69" s="279"/>
      <c r="B69" s="551"/>
      <c r="C69" s="629"/>
      <c r="D69" s="639"/>
      <c r="E69" s="56" t="s">
        <v>357</v>
      </c>
      <c r="F69" s="32" t="s">
        <v>358</v>
      </c>
      <c r="G69" s="20">
        <v>320</v>
      </c>
      <c r="H69" s="123">
        <f>'TABLA GENERAL'!D85</f>
        <v>153.30307692307693</v>
      </c>
      <c r="I69" s="115">
        <f t="shared" si="16"/>
        <v>49056.984615384616</v>
      </c>
      <c r="J69" s="20">
        <v>0</v>
      </c>
      <c r="K69" s="60">
        <f t="shared" si="17"/>
        <v>0</v>
      </c>
      <c r="L69" s="15">
        <v>0</v>
      </c>
      <c r="M69" s="60">
        <f t="shared" si="18"/>
        <v>0</v>
      </c>
      <c r="N69" s="15">
        <v>0</v>
      </c>
      <c r="O69" s="60">
        <f t="shared" si="19"/>
        <v>0</v>
      </c>
      <c r="P69" s="20">
        <v>28</v>
      </c>
      <c r="Q69" s="60">
        <f t="shared" si="20"/>
        <v>4292.4861538461537</v>
      </c>
      <c r="R69" s="18">
        <f t="shared" si="21"/>
        <v>28</v>
      </c>
      <c r="S69" s="18">
        <f t="shared" si="21"/>
        <v>4292.4861538461537</v>
      </c>
      <c r="U69" s="336">
        <f t="shared" si="11"/>
        <v>0</v>
      </c>
      <c r="V69" s="336">
        <f t="shared" si="12"/>
        <v>0</v>
      </c>
      <c r="W69" s="336">
        <f t="shared" si="13"/>
        <v>0</v>
      </c>
      <c r="X69" s="336">
        <f t="shared" si="14"/>
        <v>8.7499999999999994E-2</v>
      </c>
      <c r="Y69" s="338">
        <f t="shared" si="15"/>
        <v>8.7499999999999994E-2</v>
      </c>
    </row>
    <row r="70" spans="1:25" ht="16.5" customHeight="1" thickTop="1" thickBot="1" x14ac:dyDescent="0.3">
      <c r="A70" s="279"/>
      <c r="B70" s="551"/>
      <c r="C70" s="629"/>
      <c r="D70" s="639"/>
      <c r="E70" s="56" t="s">
        <v>359</v>
      </c>
      <c r="F70" s="32" t="s">
        <v>360</v>
      </c>
      <c r="G70" s="20">
        <v>56</v>
      </c>
      <c r="H70" s="123">
        <f>'TABLA GENERAL'!D86</f>
        <v>12.99</v>
      </c>
      <c r="I70" s="115">
        <f t="shared" si="16"/>
        <v>727.44</v>
      </c>
      <c r="J70" s="20">
        <v>0</v>
      </c>
      <c r="K70" s="60">
        <f t="shared" si="17"/>
        <v>0</v>
      </c>
      <c r="L70" s="15">
        <v>0</v>
      </c>
      <c r="M70" s="60">
        <f t="shared" si="18"/>
        <v>0</v>
      </c>
      <c r="N70" s="15">
        <v>0</v>
      </c>
      <c r="O70" s="60">
        <f t="shared" si="19"/>
        <v>0</v>
      </c>
      <c r="P70" s="20">
        <v>28</v>
      </c>
      <c r="Q70" s="60">
        <f t="shared" si="20"/>
        <v>363.72</v>
      </c>
      <c r="R70" s="18">
        <f t="shared" si="21"/>
        <v>28</v>
      </c>
      <c r="S70" s="18">
        <f t="shared" si="21"/>
        <v>363.72</v>
      </c>
      <c r="U70" s="336">
        <f t="shared" si="11"/>
        <v>0</v>
      </c>
      <c r="V70" s="336">
        <f t="shared" si="12"/>
        <v>0</v>
      </c>
      <c r="W70" s="336">
        <f t="shared" si="13"/>
        <v>0</v>
      </c>
      <c r="X70" s="336">
        <f t="shared" si="14"/>
        <v>0.5</v>
      </c>
      <c r="Y70" s="338">
        <f t="shared" si="15"/>
        <v>0.5</v>
      </c>
    </row>
    <row r="71" spans="1:25" ht="16.5" customHeight="1" thickTop="1" thickBot="1" x14ac:dyDescent="0.3">
      <c r="A71" s="279"/>
      <c r="B71" s="551"/>
      <c r="C71" s="629"/>
      <c r="D71" s="639"/>
      <c r="E71" s="56" t="s">
        <v>361</v>
      </c>
      <c r="F71" s="32" t="s">
        <v>362</v>
      </c>
      <c r="G71" s="20">
        <v>56</v>
      </c>
      <c r="H71" s="123">
        <f>'TABLA GENERAL'!D87</f>
        <v>10.47</v>
      </c>
      <c r="I71" s="115">
        <f t="shared" si="16"/>
        <v>586.32000000000005</v>
      </c>
      <c r="J71" s="20">
        <v>0</v>
      </c>
      <c r="K71" s="60">
        <f t="shared" si="17"/>
        <v>0</v>
      </c>
      <c r="L71" s="15">
        <v>0</v>
      </c>
      <c r="M71" s="60">
        <f t="shared" si="18"/>
        <v>0</v>
      </c>
      <c r="N71" s="15">
        <v>0</v>
      </c>
      <c r="O71" s="60">
        <f t="shared" si="19"/>
        <v>0</v>
      </c>
      <c r="P71" s="20">
        <v>28</v>
      </c>
      <c r="Q71" s="60">
        <f t="shared" si="20"/>
        <v>293.16000000000003</v>
      </c>
      <c r="R71" s="18">
        <f t="shared" si="21"/>
        <v>28</v>
      </c>
      <c r="S71" s="18">
        <f t="shared" si="21"/>
        <v>293.16000000000003</v>
      </c>
      <c r="U71" s="336">
        <f t="shared" si="11"/>
        <v>0</v>
      </c>
      <c r="V71" s="336">
        <f t="shared" si="12"/>
        <v>0</v>
      </c>
      <c r="W71" s="336">
        <f t="shared" si="13"/>
        <v>0</v>
      </c>
      <c r="X71" s="336">
        <f t="shared" si="14"/>
        <v>0.5</v>
      </c>
      <c r="Y71" s="338">
        <f t="shared" si="15"/>
        <v>0.5</v>
      </c>
    </row>
    <row r="72" spans="1:25" ht="16.5" customHeight="1" thickTop="1" thickBot="1" x14ac:dyDescent="0.3">
      <c r="A72" s="279"/>
      <c r="B72" s="551"/>
      <c r="C72" s="629"/>
      <c r="D72" s="639"/>
      <c r="E72" s="56" t="s">
        <v>363</v>
      </c>
      <c r="F72" s="32" t="s">
        <v>364</v>
      </c>
      <c r="G72" s="20">
        <v>56</v>
      </c>
      <c r="H72" s="123">
        <f>'TABLA GENERAL'!D87</f>
        <v>10.47</v>
      </c>
      <c r="I72" s="115">
        <f t="shared" si="16"/>
        <v>586.32000000000005</v>
      </c>
      <c r="J72" s="20">
        <v>0</v>
      </c>
      <c r="K72" s="60">
        <f t="shared" si="17"/>
        <v>0</v>
      </c>
      <c r="L72" s="15">
        <v>0</v>
      </c>
      <c r="M72" s="60">
        <f t="shared" si="18"/>
        <v>0</v>
      </c>
      <c r="N72" s="15">
        <v>0</v>
      </c>
      <c r="O72" s="60">
        <f t="shared" si="19"/>
        <v>0</v>
      </c>
      <c r="P72" s="20">
        <v>28</v>
      </c>
      <c r="Q72" s="60">
        <f t="shared" si="20"/>
        <v>293.16000000000003</v>
      </c>
      <c r="R72" s="18">
        <f t="shared" si="21"/>
        <v>28</v>
      </c>
      <c r="S72" s="18">
        <f t="shared" si="21"/>
        <v>293.16000000000003</v>
      </c>
      <c r="U72" s="336">
        <f t="shared" si="11"/>
        <v>0</v>
      </c>
      <c r="V72" s="336">
        <f t="shared" si="12"/>
        <v>0</v>
      </c>
      <c r="W72" s="336">
        <f t="shared" si="13"/>
        <v>0</v>
      </c>
      <c r="X72" s="336">
        <f t="shared" si="14"/>
        <v>0.5</v>
      </c>
      <c r="Y72" s="338">
        <f t="shared" si="15"/>
        <v>0.5</v>
      </c>
    </row>
    <row r="73" spans="1:25" ht="16.5" customHeight="1" thickTop="1" thickBot="1" x14ac:dyDescent="0.3">
      <c r="A73" s="279"/>
      <c r="B73" s="551"/>
      <c r="C73" s="629"/>
      <c r="D73" s="639"/>
      <c r="E73" s="56" t="s">
        <v>365</v>
      </c>
      <c r="F73" s="32" t="s">
        <v>366</v>
      </c>
      <c r="G73" s="20">
        <v>28</v>
      </c>
      <c r="H73" s="123">
        <f>'TABLA GENERAL'!D89</f>
        <v>89.6</v>
      </c>
      <c r="I73" s="115">
        <f t="shared" si="16"/>
        <v>2508.7999999999997</v>
      </c>
      <c r="J73" s="20">
        <v>0</v>
      </c>
      <c r="K73" s="60">
        <f t="shared" si="17"/>
        <v>0</v>
      </c>
      <c r="L73" s="15">
        <v>0</v>
      </c>
      <c r="M73" s="60">
        <f t="shared" si="18"/>
        <v>0</v>
      </c>
      <c r="N73" s="15">
        <v>0</v>
      </c>
      <c r="O73" s="60">
        <f t="shared" si="19"/>
        <v>0</v>
      </c>
      <c r="P73" s="20">
        <v>28</v>
      </c>
      <c r="Q73" s="60">
        <f t="shared" si="20"/>
        <v>2508.7999999999997</v>
      </c>
      <c r="R73" s="18">
        <f t="shared" si="21"/>
        <v>28</v>
      </c>
      <c r="S73" s="18">
        <f t="shared" si="21"/>
        <v>2508.7999999999997</v>
      </c>
      <c r="U73" s="336">
        <f t="shared" si="11"/>
        <v>0</v>
      </c>
      <c r="V73" s="336">
        <f t="shared" si="12"/>
        <v>0</v>
      </c>
      <c r="W73" s="336">
        <f t="shared" si="13"/>
        <v>0</v>
      </c>
      <c r="X73" s="336">
        <f t="shared" si="14"/>
        <v>1</v>
      </c>
      <c r="Y73" s="338">
        <f t="shared" si="15"/>
        <v>1</v>
      </c>
    </row>
    <row r="74" spans="1:25" ht="16.5" customHeight="1" thickTop="1" thickBot="1" x14ac:dyDescent="0.3">
      <c r="A74" s="279"/>
      <c r="B74" s="551"/>
      <c r="C74" s="629"/>
      <c r="D74" s="639"/>
      <c r="E74" s="56" t="s">
        <v>367</v>
      </c>
      <c r="F74" s="32" t="s">
        <v>368</v>
      </c>
      <c r="G74" s="20">
        <v>12</v>
      </c>
      <c r="H74" s="123">
        <f>'TABLA GENERAL'!D89</f>
        <v>89.6</v>
      </c>
      <c r="I74" s="115">
        <f t="shared" si="16"/>
        <v>1075.1999999999998</v>
      </c>
      <c r="J74" s="20">
        <v>0</v>
      </c>
      <c r="K74" s="60">
        <f t="shared" si="17"/>
        <v>0</v>
      </c>
      <c r="L74" s="15">
        <v>0</v>
      </c>
      <c r="M74" s="60">
        <f t="shared" si="18"/>
        <v>0</v>
      </c>
      <c r="N74" s="15">
        <v>0</v>
      </c>
      <c r="O74" s="60">
        <f t="shared" si="19"/>
        <v>0</v>
      </c>
      <c r="P74" s="20">
        <v>12</v>
      </c>
      <c r="Q74" s="60">
        <f t="shared" si="20"/>
        <v>1075.1999999999998</v>
      </c>
      <c r="R74" s="18">
        <f t="shared" si="21"/>
        <v>12</v>
      </c>
      <c r="S74" s="18">
        <f t="shared" si="21"/>
        <v>1075.1999999999998</v>
      </c>
      <c r="U74" s="336">
        <f t="shared" si="11"/>
        <v>0</v>
      </c>
      <c r="V74" s="336">
        <f t="shared" si="12"/>
        <v>0</v>
      </c>
      <c r="W74" s="336">
        <f t="shared" si="13"/>
        <v>0</v>
      </c>
      <c r="X74" s="336">
        <f t="shared" si="14"/>
        <v>1</v>
      </c>
      <c r="Y74" s="338">
        <f t="shared" si="15"/>
        <v>1</v>
      </c>
    </row>
    <row r="75" spans="1:25" ht="16.5" customHeight="1" thickTop="1" thickBot="1" x14ac:dyDescent="0.3">
      <c r="A75" s="279"/>
      <c r="B75" s="551"/>
      <c r="C75" s="629"/>
      <c r="D75" s="639"/>
      <c r="E75" s="56" t="s">
        <v>369</v>
      </c>
      <c r="F75" s="32" t="s">
        <v>370</v>
      </c>
      <c r="G75" s="20">
        <v>28</v>
      </c>
      <c r="H75" s="123">
        <f>'TABLA GENERAL'!D91</f>
        <v>126.72</v>
      </c>
      <c r="I75" s="115">
        <f t="shared" si="16"/>
        <v>3548.16</v>
      </c>
      <c r="J75" s="20">
        <v>0</v>
      </c>
      <c r="K75" s="60">
        <f t="shared" si="17"/>
        <v>0</v>
      </c>
      <c r="L75" s="15">
        <v>0</v>
      </c>
      <c r="M75" s="60">
        <f t="shared" si="18"/>
        <v>0</v>
      </c>
      <c r="N75" s="15">
        <v>0</v>
      </c>
      <c r="O75" s="60">
        <f t="shared" si="19"/>
        <v>0</v>
      </c>
      <c r="P75" s="20">
        <v>28</v>
      </c>
      <c r="Q75" s="60">
        <f t="shared" si="20"/>
        <v>3548.16</v>
      </c>
      <c r="R75" s="18">
        <f t="shared" si="21"/>
        <v>28</v>
      </c>
      <c r="S75" s="18">
        <f t="shared" si="21"/>
        <v>3548.16</v>
      </c>
      <c r="U75" s="336">
        <f t="shared" si="11"/>
        <v>0</v>
      </c>
      <c r="V75" s="336">
        <f t="shared" si="12"/>
        <v>0</v>
      </c>
      <c r="W75" s="336">
        <f t="shared" si="13"/>
        <v>0</v>
      </c>
      <c r="X75" s="336">
        <f t="shared" si="14"/>
        <v>1</v>
      </c>
      <c r="Y75" s="338">
        <f t="shared" si="15"/>
        <v>1</v>
      </c>
    </row>
    <row r="76" spans="1:25" ht="16.5" customHeight="1" thickTop="1" thickBot="1" x14ac:dyDescent="0.3">
      <c r="A76" s="279"/>
      <c r="B76" s="551"/>
      <c r="C76" s="629"/>
      <c r="D76" s="639"/>
      <c r="E76" s="56" t="s">
        <v>371</v>
      </c>
      <c r="F76" s="32" t="s">
        <v>372</v>
      </c>
      <c r="G76" s="15">
        <v>28</v>
      </c>
      <c r="H76" s="59">
        <f>'TABLA GENERAL'!D92</f>
        <v>288</v>
      </c>
      <c r="I76" s="115">
        <f t="shared" si="16"/>
        <v>8064</v>
      </c>
      <c r="J76" s="15">
        <v>0</v>
      </c>
      <c r="K76" s="60">
        <f t="shared" si="17"/>
        <v>0</v>
      </c>
      <c r="L76" s="15">
        <v>0</v>
      </c>
      <c r="M76" s="60">
        <f t="shared" si="18"/>
        <v>0</v>
      </c>
      <c r="N76" s="15">
        <v>0</v>
      </c>
      <c r="O76" s="60">
        <f t="shared" si="19"/>
        <v>0</v>
      </c>
      <c r="P76" s="15">
        <v>28</v>
      </c>
      <c r="Q76" s="60">
        <f t="shared" si="20"/>
        <v>8064</v>
      </c>
      <c r="R76" s="18">
        <f t="shared" si="21"/>
        <v>28</v>
      </c>
      <c r="S76" s="18">
        <f t="shared" si="21"/>
        <v>8064</v>
      </c>
      <c r="U76" s="336">
        <f t="shared" ref="U76:U102" si="22">+J76/G76</f>
        <v>0</v>
      </c>
      <c r="V76" s="336">
        <f t="shared" ref="V76:V102" si="23">+L76/G76</f>
        <v>0</v>
      </c>
      <c r="W76" s="336">
        <f t="shared" ref="W76:W102" si="24">+N76/G76</f>
        <v>0</v>
      </c>
      <c r="X76" s="336">
        <f t="shared" ref="X76:X102" si="25">+P76/G76</f>
        <v>1</v>
      </c>
      <c r="Y76" s="338">
        <f t="shared" si="15"/>
        <v>1</v>
      </c>
    </row>
    <row r="77" spans="1:25" ht="16.5" customHeight="1" thickTop="1" thickBot="1" x14ac:dyDescent="0.3">
      <c r="A77" s="279"/>
      <c r="B77" s="551"/>
      <c r="C77" s="629"/>
      <c r="D77" s="639"/>
      <c r="E77" s="56" t="s">
        <v>373</v>
      </c>
      <c r="F77" s="32" t="s">
        <v>374</v>
      </c>
      <c r="G77" s="15">
        <v>28</v>
      </c>
      <c r="H77" s="59">
        <f>'TABLA GENERAL'!D93</f>
        <v>14</v>
      </c>
      <c r="I77" s="115">
        <f t="shared" si="16"/>
        <v>392</v>
      </c>
      <c r="J77" s="15">
        <v>0</v>
      </c>
      <c r="K77" s="60">
        <f t="shared" si="17"/>
        <v>0</v>
      </c>
      <c r="L77" s="15">
        <v>0</v>
      </c>
      <c r="M77" s="60">
        <f t="shared" si="18"/>
        <v>0</v>
      </c>
      <c r="N77" s="15">
        <v>0</v>
      </c>
      <c r="O77" s="60">
        <f t="shared" si="19"/>
        <v>0</v>
      </c>
      <c r="P77" s="15">
        <v>28</v>
      </c>
      <c r="Q77" s="60">
        <f t="shared" si="20"/>
        <v>392</v>
      </c>
      <c r="R77" s="18">
        <f t="shared" si="21"/>
        <v>28</v>
      </c>
      <c r="S77" s="18">
        <f t="shared" si="21"/>
        <v>392</v>
      </c>
      <c r="U77" s="336">
        <f t="shared" si="22"/>
        <v>0</v>
      </c>
      <c r="V77" s="336">
        <f t="shared" si="23"/>
        <v>0</v>
      </c>
      <c r="W77" s="336">
        <f t="shared" si="24"/>
        <v>0</v>
      </c>
      <c r="X77" s="336">
        <f t="shared" si="25"/>
        <v>1</v>
      </c>
      <c r="Y77" s="338">
        <f t="shared" si="15"/>
        <v>1</v>
      </c>
    </row>
    <row r="78" spans="1:25" ht="16.5" customHeight="1" thickTop="1" thickBot="1" x14ac:dyDescent="0.3">
      <c r="A78" s="279"/>
      <c r="B78" s="551"/>
      <c r="C78" s="629"/>
      <c r="D78" s="639"/>
      <c r="E78" s="56" t="s">
        <v>375</v>
      </c>
      <c r="F78" s="32" t="s">
        <v>376</v>
      </c>
      <c r="G78" s="15">
        <v>28</v>
      </c>
      <c r="H78" s="59">
        <f>'TABLA GENERAL'!D94</f>
        <v>23.93</v>
      </c>
      <c r="I78" s="115">
        <f t="shared" si="16"/>
        <v>670.04</v>
      </c>
      <c r="J78" s="15">
        <v>0</v>
      </c>
      <c r="K78" s="60">
        <f t="shared" si="17"/>
        <v>0</v>
      </c>
      <c r="L78" s="15">
        <v>0</v>
      </c>
      <c r="M78" s="60">
        <f t="shared" si="18"/>
        <v>0</v>
      </c>
      <c r="N78" s="15">
        <v>0</v>
      </c>
      <c r="O78" s="60">
        <f t="shared" si="19"/>
        <v>0</v>
      </c>
      <c r="P78" s="15">
        <v>28</v>
      </c>
      <c r="Q78" s="60">
        <f t="shared" si="20"/>
        <v>670.04</v>
      </c>
      <c r="R78" s="18">
        <f t="shared" si="21"/>
        <v>28</v>
      </c>
      <c r="S78" s="18">
        <f t="shared" si="21"/>
        <v>670.04</v>
      </c>
      <c r="U78" s="336">
        <f t="shared" si="22"/>
        <v>0</v>
      </c>
      <c r="V78" s="336">
        <f t="shared" si="23"/>
        <v>0</v>
      </c>
      <c r="W78" s="336">
        <f t="shared" si="24"/>
        <v>0</v>
      </c>
      <c r="X78" s="336">
        <f t="shared" si="25"/>
        <v>1</v>
      </c>
      <c r="Y78" s="338">
        <f t="shared" si="15"/>
        <v>1</v>
      </c>
    </row>
    <row r="79" spans="1:25" ht="16.5" customHeight="1" thickTop="1" thickBot="1" x14ac:dyDescent="0.3">
      <c r="A79" s="279"/>
      <c r="B79" s="551"/>
      <c r="C79" s="629"/>
      <c r="D79" s="639"/>
      <c r="E79" s="56" t="s">
        <v>377</v>
      </c>
      <c r="F79" s="32" t="s">
        <v>378</v>
      </c>
      <c r="G79" s="15">
        <v>28</v>
      </c>
      <c r="H79" s="59">
        <f>'TABLA GENERAL'!D95</f>
        <v>72.760000000000005</v>
      </c>
      <c r="I79" s="115">
        <f t="shared" si="16"/>
        <v>2037.2800000000002</v>
      </c>
      <c r="J79" s="15">
        <v>0</v>
      </c>
      <c r="K79" s="60">
        <f t="shared" si="17"/>
        <v>0</v>
      </c>
      <c r="L79" s="15">
        <v>0</v>
      </c>
      <c r="M79" s="60">
        <f t="shared" si="18"/>
        <v>0</v>
      </c>
      <c r="N79" s="15">
        <v>0</v>
      </c>
      <c r="O79" s="60">
        <f t="shared" si="19"/>
        <v>0</v>
      </c>
      <c r="P79" s="15">
        <v>28</v>
      </c>
      <c r="Q79" s="60">
        <f t="shared" si="20"/>
        <v>2037.2800000000002</v>
      </c>
      <c r="R79" s="18">
        <f t="shared" si="21"/>
        <v>28</v>
      </c>
      <c r="S79" s="18">
        <f t="shared" si="21"/>
        <v>2037.2800000000002</v>
      </c>
      <c r="U79" s="336">
        <f t="shared" si="22"/>
        <v>0</v>
      </c>
      <c r="V79" s="336">
        <f t="shared" si="23"/>
        <v>0</v>
      </c>
      <c r="W79" s="336">
        <f t="shared" si="24"/>
        <v>0</v>
      </c>
      <c r="X79" s="336">
        <f t="shared" si="25"/>
        <v>1</v>
      </c>
      <c r="Y79" s="338">
        <f t="shared" si="15"/>
        <v>1</v>
      </c>
    </row>
    <row r="80" spans="1:25" ht="16.5" customHeight="1" thickTop="1" thickBot="1" x14ac:dyDescent="0.3">
      <c r="A80" s="279"/>
      <c r="B80" s="551"/>
      <c r="C80" s="629"/>
      <c r="D80" s="639"/>
      <c r="E80" s="56" t="s">
        <v>379</v>
      </c>
      <c r="F80" s="32" t="s">
        <v>380</v>
      </c>
      <c r="G80" s="15">
        <v>28</v>
      </c>
      <c r="H80" s="59">
        <f>'TABLA GENERAL'!D96</f>
        <v>71.319999999999993</v>
      </c>
      <c r="I80" s="115">
        <f t="shared" si="16"/>
        <v>1996.9599999999998</v>
      </c>
      <c r="J80" s="15">
        <v>0</v>
      </c>
      <c r="K80" s="60">
        <f t="shared" si="17"/>
        <v>0</v>
      </c>
      <c r="L80" s="15">
        <v>0</v>
      </c>
      <c r="M80" s="60">
        <f t="shared" si="18"/>
        <v>0</v>
      </c>
      <c r="N80" s="15">
        <v>0</v>
      </c>
      <c r="O80" s="60">
        <f t="shared" si="19"/>
        <v>0</v>
      </c>
      <c r="P80" s="15">
        <v>28</v>
      </c>
      <c r="Q80" s="60">
        <f t="shared" si="20"/>
        <v>1996.9599999999998</v>
      </c>
      <c r="R80" s="18">
        <f t="shared" si="21"/>
        <v>28</v>
      </c>
      <c r="S80" s="18">
        <f t="shared" si="21"/>
        <v>1996.9599999999998</v>
      </c>
      <c r="U80" s="336">
        <f t="shared" si="22"/>
        <v>0</v>
      </c>
      <c r="V80" s="336">
        <f t="shared" si="23"/>
        <v>0</v>
      </c>
      <c r="W80" s="336">
        <f t="shared" si="24"/>
        <v>0</v>
      </c>
      <c r="X80" s="336">
        <f t="shared" si="25"/>
        <v>1</v>
      </c>
      <c r="Y80" s="338">
        <f t="shared" si="15"/>
        <v>1</v>
      </c>
    </row>
    <row r="81" spans="1:25" ht="16.5" customHeight="1" thickTop="1" thickBot="1" x14ac:dyDescent="0.3">
      <c r="A81" s="279"/>
      <c r="B81" s="551"/>
      <c r="C81" s="629"/>
      <c r="D81" s="639"/>
      <c r="E81" s="56" t="s">
        <v>381</v>
      </c>
      <c r="F81" s="32" t="s">
        <v>382</v>
      </c>
      <c r="G81" s="15">
        <v>20</v>
      </c>
      <c r="H81" s="59">
        <f>'TABLA GENERAL'!D97</f>
        <v>162</v>
      </c>
      <c r="I81" s="115">
        <f t="shared" si="16"/>
        <v>3240</v>
      </c>
      <c r="J81" s="15">
        <v>0</v>
      </c>
      <c r="K81" s="60">
        <f t="shared" si="17"/>
        <v>0</v>
      </c>
      <c r="L81" s="15">
        <v>0</v>
      </c>
      <c r="M81" s="60">
        <f t="shared" si="18"/>
        <v>0</v>
      </c>
      <c r="N81" s="15">
        <v>0</v>
      </c>
      <c r="O81" s="60">
        <f t="shared" si="19"/>
        <v>0</v>
      </c>
      <c r="P81" s="15">
        <v>10</v>
      </c>
      <c r="Q81" s="60">
        <f t="shared" si="20"/>
        <v>1620</v>
      </c>
      <c r="R81" s="18">
        <f t="shared" si="21"/>
        <v>10</v>
      </c>
      <c r="S81" s="18">
        <f t="shared" si="21"/>
        <v>1620</v>
      </c>
      <c r="U81" s="336">
        <f t="shared" si="22"/>
        <v>0</v>
      </c>
      <c r="V81" s="336">
        <f t="shared" si="23"/>
        <v>0</v>
      </c>
      <c r="W81" s="336">
        <f t="shared" si="24"/>
        <v>0</v>
      </c>
      <c r="X81" s="336">
        <f t="shared" si="25"/>
        <v>0.5</v>
      </c>
      <c r="Y81" s="338">
        <f t="shared" si="15"/>
        <v>0.5</v>
      </c>
    </row>
    <row r="82" spans="1:25" ht="16.5" customHeight="1" thickTop="1" thickBot="1" x14ac:dyDescent="0.3">
      <c r="A82" s="279"/>
      <c r="B82" s="551"/>
      <c r="C82" s="629"/>
      <c r="D82" s="639"/>
      <c r="E82" s="56" t="s">
        <v>383</v>
      </c>
      <c r="F82" s="32" t="s">
        <v>384</v>
      </c>
      <c r="G82" s="15">
        <v>28</v>
      </c>
      <c r="H82" s="59">
        <f>'TABLA GENERAL'!D98</f>
        <v>94</v>
      </c>
      <c r="I82" s="115">
        <f t="shared" si="16"/>
        <v>2632</v>
      </c>
      <c r="J82" s="15">
        <v>0</v>
      </c>
      <c r="K82" s="60">
        <f t="shared" si="17"/>
        <v>0</v>
      </c>
      <c r="L82" s="15">
        <v>0</v>
      </c>
      <c r="M82" s="60">
        <f t="shared" si="18"/>
        <v>0</v>
      </c>
      <c r="N82" s="15">
        <v>0</v>
      </c>
      <c r="O82" s="60">
        <f t="shared" si="19"/>
        <v>0</v>
      </c>
      <c r="P82" s="15">
        <v>28</v>
      </c>
      <c r="Q82" s="60">
        <f t="shared" si="20"/>
        <v>2632</v>
      </c>
      <c r="R82" s="18">
        <f t="shared" si="21"/>
        <v>28</v>
      </c>
      <c r="S82" s="18">
        <f t="shared" si="21"/>
        <v>2632</v>
      </c>
      <c r="U82" s="336">
        <f t="shared" si="22"/>
        <v>0</v>
      </c>
      <c r="V82" s="336">
        <f t="shared" si="23"/>
        <v>0</v>
      </c>
      <c r="W82" s="336">
        <f t="shared" si="24"/>
        <v>0</v>
      </c>
      <c r="X82" s="336">
        <f t="shared" si="25"/>
        <v>1</v>
      </c>
      <c r="Y82" s="338">
        <f t="shared" si="15"/>
        <v>1</v>
      </c>
    </row>
    <row r="83" spans="1:25" ht="16.5" customHeight="1" thickTop="1" thickBot="1" x14ac:dyDescent="0.3">
      <c r="A83" s="279"/>
      <c r="B83" s="551"/>
      <c r="C83" s="629"/>
      <c r="D83" s="639"/>
      <c r="E83" s="56" t="s">
        <v>385</v>
      </c>
      <c r="F83" s="32" t="s">
        <v>386</v>
      </c>
      <c r="G83" s="15">
        <v>112</v>
      </c>
      <c r="H83" s="59">
        <f>'TABLA GENERAL'!D99</f>
        <v>9</v>
      </c>
      <c r="I83" s="115">
        <f t="shared" si="16"/>
        <v>1008</v>
      </c>
      <c r="J83" s="15">
        <v>0</v>
      </c>
      <c r="K83" s="60">
        <f t="shared" si="17"/>
        <v>0</v>
      </c>
      <c r="L83" s="15">
        <v>0</v>
      </c>
      <c r="M83" s="60">
        <f t="shared" si="18"/>
        <v>0</v>
      </c>
      <c r="N83" s="15">
        <v>0</v>
      </c>
      <c r="O83" s="60">
        <f t="shared" si="19"/>
        <v>0</v>
      </c>
      <c r="P83" s="15">
        <v>28</v>
      </c>
      <c r="Q83" s="60">
        <f t="shared" si="20"/>
        <v>252</v>
      </c>
      <c r="R83" s="18">
        <f t="shared" si="21"/>
        <v>28</v>
      </c>
      <c r="S83" s="18">
        <f t="shared" si="21"/>
        <v>252</v>
      </c>
      <c r="U83" s="336">
        <f t="shared" si="22"/>
        <v>0</v>
      </c>
      <c r="V83" s="336">
        <f t="shared" si="23"/>
        <v>0</v>
      </c>
      <c r="W83" s="336">
        <f t="shared" si="24"/>
        <v>0</v>
      </c>
      <c r="X83" s="336">
        <f t="shared" si="25"/>
        <v>0.25</v>
      </c>
      <c r="Y83" s="338">
        <f t="shared" si="15"/>
        <v>0.25</v>
      </c>
    </row>
    <row r="84" spans="1:25" ht="16.5" customHeight="1" thickTop="1" thickBot="1" x14ac:dyDescent="0.3">
      <c r="A84" s="279"/>
      <c r="B84" s="551"/>
      <c r="C84" s="629"/>
      <c r="D84" s="639"/>
      <c r="E84" s="56" t="s">
        <v>387</v>
      </c>
      <c r="F84" s="32" t="s">
        <v>388</v>
      </c>
      <c r="G84" s="15">
        <v>85</v>
      </c>
      <c r="H84" s="59">
        <f>'TABLA GENERAL'!D100</f>
        <v>13.49</v>
      </c>
      <c r="I84" s="115">
        <f t="shared" si="16"/>
        <v>1146.6500000000001</v>
      </c>
      <c r="J84" s="15">
        <v>0</v>
      </c>
      <c r="K84" s="60">
        <f t="shared" si="17"/>
        <v>0</v>
      </c>
      <c r="L84" s="15">
        <v>0</v>
      </c>
      <c r="M84" s="60">
        <f t="shared" si="18"/>
        <v>0</v>
      </c>
      <c r="N84" s="15">
        <v>0</v>
      </c>
      <c r="O84" s="60">
        <f t="shared" si="19"/>
        <v>0</v>
      </c>
      <c r="P84" s="15">
        <v>14</v>
      </c>
      <c r="Q84" s="60">
        <f t="shared" si="20"/>
        <v>188.86</v>
      </c>
      <c r="R84" s="18">
        <f t="shared" si="21"/>
        <v>14</v>
      </c>
      <c r="S84" s="18">
        <f t="shared" si="21"/>
        <v>188.86</v>
      </c>
      <c r="U84" s="336">
        <f t="shared" si="22"/>
        <v>0</v>
      </c>
      <c r="V84" s="336">
        <f t="shared" si="23"/>
        <v>0</v>
      </c>
      <c r="W84" s="336">
        <f t="shared" si="24"/>
        <v>0</v>
      </c>
      <c r="X84" s="336">
        <f t="shared" si="25"/>
        <v>0.16470588235294117</v>
      </c>
      <c r="Y84" s="338">
        <f t="shared" si="15"/>
        <v>0.16470588235294117</v>
      </c>
    </row>
    <row r="85" spans="1:25" ht="16.5" customHeight="1" thickTop="1" thickBot="1" x14ac:dyDescent="0.3">
      <c r="A85" s="279"/>
      <c r="B85" s="551"/>
      <c r="C85" s="629"/>
      <c r="D85" s="639"/>
      <c r="E85" s="56" t="s">
        <v>389</v>
      </c>
      <c r="F85" s="32" t="s">
        <v>390</v>
      </c>
      <c r="G85" s="20">
        <v>20</v>
      </c>
      <c r="H85" s="123">
        <f>'TABLA GENERAL'!D101</f>
        <v>60.12</v>
      </c>
      <c r="I85" s="115">
        <f t="shared" si="16"/>
        <v>1202.3999999999999</v>
      </c>
      <c r="J85" s="20">
        <v>0</v>
      </c>
      <c r="K85" s="60">
        <f t="shared" si="17"/>
        <v>0</v>
      </c>
      <c r="L85" s="15">
        <v>0</v>
      </c>
      <c r="M85" s="60">
        <f t="shared" si="18"/>
        <v>0</v>
      </c>
      <c r="N85" s="15">
        <v>0</v>
      </c>
      <c r="O85" s="60">
        <f t="shared" si="19"/>
        <v>0</v>
      </c>
      <c r="P85" s="20">
        <v>14</v>
      </c>
      <c r="Q85" s="60">
        <f t="shared" si="20"/>
        <v>841.68</v>
      </c>
      <c r="R85" s="18">
        <f t="shared" si="21"/>
        <v>14</v>
      </c>
      <c r="S85" s="18">
        <f t="shared" si="21"/>
        <v>841.68</v>
      </c>
      <c r="U85" s="336">
        <f t="shared" si="22"/>
        <v>0</v>
      </c>
      <c r="V85" s="336">
        <f t="shared" si="23"/>
        <v>0</v>
      </c>
      <c r="W85" s="336">
        <f t="shared" si="24"/>
        <v>0</v>
      </c>
      <c r="X85" s="336">
        <f t="shared" si="25"/>
        <v>0.7</v>
      </c>
      <c r="Y85" s="338">
        <f t="shared" si="15"/>
        <v>0.7</v>
      </c>
    </row>
    <row r="86" spans="1:25" ht="16.5" customHeight="1" thickTop="1" thickBot="1" x14ac:dyDescent="0.3">
      <c r="A86" s="279"/>
      <c r="B86" s="551"/>
      <c r="C86" s="629"/>
      <c r="D86" s="639"/>
      <c r="E86" s="56" t="s">
        <v>391</v>
      </c>
      <c r="F86" s="32" t="s">
        <v>392</v>
      </c>
      <c r="G86" s="20">
        <v>20</v>
      </c>
      <c r="H86" s="123">
        <f>'TABLA GENERAL'!D102</f>
        <v>43.2</v>
      </c>
      <c r="I86" s="115">
        <f t="shared" si="16"/>
        <v>864</v>
      </c>
      <c r="J86" s="20">
        <v>0</v>
      </c>
      <c r="K86" s="60">
        <f t="shared" si="17"/>
        <v>0</v>
      </c>
      <c r="L86" s="15">
        <v>0</v>
      </c>
      <c r="M86" s="60">
        <f t="shared" si="18"/>
        <v>0</v>
      </c>
      <c r="N86" s="15">
        <v>0</v>
      </c>
      <c r="O86" s="60">
        <f t="shared" si="19"/>
        <v>0</v>
      </c>
      <c r="P86" s="20">
        <v>14</v>
      </c>
      <c r="Q86" s="60">
        <f t="shared" si="20"/>
        <v>604.80000000000007</v>
      </c>
      <c r="R86" s="18">
        <f t="shared" si="21"/>
        <v>14</v>
      </c>
      <c r="S86" s="18">
        <f t="shared" si="21"/>
        <v>604.80000000000007</v>
      </c>
      <c r="U86" s="336">
        <f t="shared" si="22"/>
        <v>0</v>
      </c>
      <c r="V86" s="336">
        <f t="shared" si="23"/>
        <v>0</v>
      </c>
      <c r="W86" s="336">
        <f t="shared" si="24"/>
        <v>0</v>
      </c>
      <c r="X86" s="336">
        <f t="shared" si="25"/>
        <v>0.7</v>
      </c>
      <c r="Y86" s="338">
        <f t="shared" si="15"/>
        <v>0.7</v>
      </c>
    </row>
    <row r="87" spans="1:25" ht="16.5" customHeight="1" thickTop="1" thickBot="1" x14ac:dyDescent="0.3">
      <c r="A87" s="279"/>
      <c r="B87" s="551"/>
      <c r="C87" s="629"/>
      <c r="D87" s="639"/>
      <c r="E87" s="56" t="s">
        <v>393</v>
      </c>
      <c r="F87" s="32" t="s">
        <v>394</v>
      </c>
      <c r="G87" s="20">
        <v>200</v>
      </c>
      <c r="H87" s="123">
        <f>'TABLA GENERAL'!D103</f>
        <v>96</v>
      </c>
      <c r="I87" s="115">
        <f t="shared" si="16"/>
        <v>19200</v>
      </c>
      <c r="J87" s="20">
        <v>0</v>
      </c>
      <c r="K87" s="60">
        <f t="shared" si="17"/>
        <v>0</v>
      </c>
      <c r="L87" s="15">
        <v>0</v>
      </c>
      <c r="M87" s="60">
        <f t="shared" si="18"/>
        <v>0</v>
      </c>
      <c r="N87" s="15">
        <v>0</v>
      </c>
      <c r="O87" s="60">
        <f t="shared" si="19"/>
        <v>0</v>
      </c>
      <c r="P87" s="20">
        <v>28</v>
      </c>
      <c r="Q87" s="60">
        <f t="shared" si="20"/>
        <v>2688</v>
      </c>
      <c r="R87" s="18">
        <f t="shared" si="21"/>
        <v>28</v>
      </c>
      <c r="S87" s="18">
        <f t="shared" si="21"/>
        <v>2688</v>
      </c>
      <c r="U87" s="336">
        <f t="shared" si="22"/>
        <v>0</v>
      </c>
      <c r="V87" s="336">
        <f t="shared" si="23"/>
        <v>0</v>
      </c>
      <c r="W87" s="336">
        <f t="shared" si="24"/>
        <v>0</v>
      </c>
      <c r="X87" s="336">
        <f t="shared" si="25"/>
        <v>0.14000000000000001</v>
      </c>
      <c r="Y87" s="338">
        <f t="shared" si="15"/>
        <v>0.14000000000000001</v>
      </c>
    </row>
    <row r="88" spans="1:25" ht="16.5" customHeight="1" thickTop="1" thickBot="1" x14ac:dyDescent="0.3">
      <c r="A88" s="279"/>
      <c r="B88" s="551"/>
      <c r="C88" s="629"/>
      <c r="D88" s="639"/>
      <c r="E88" s="56" t="s">
        <v>395</v>
      </c>
      <c r="F88" s="32" t="s">
        <v>396</v>
      </c>
      <c r="G88" s="20">
        <v>510</v>
      </c>
      <c r="H88" s="123">
        <f>'TABLA GENERAL'!D104</f>
        <v>183.74</v>
      </c>
      <c r="I88" s="115">
        <f t="shared" si="16"/>
        <v>93707.400000000009</v>
      </c>
      <c r="J88" s="20">
        <v>0</v>
      </c>
      <c r="K88" s="60">
        <f t="shared" si="17"/>
        <v>0</v>
      </c>
      <c r="L88" s="15">
        <v>0</v>
      </c>
      <c r="M88" s="60">
        <f t="shared" si="18"/>
        <v>0</v>
      </c>
      <c r="N88" s="15">
        <v>0</v>
      </c>
      <c r="O88" s="60">
        <f t="shared" si="19"/>
        <v>0</v>
      </c>
      <c r="P88" s="20">
        <v>28</v>
      </c>
      <c r="Q88" s="60">
        <f t="shared" si="20"/>
        <v>5144.72</v>
      </c>
      <c r="R88" s="18">
        <f t="shared" si="21"/>
        <v>28</v>
      </c>
      <c r="S88" s="18">
        <f t="shared" si="21"/>
        <v>5144.72</v>
      </c>
      <c r="U88" s="336">
        <f t="shared" si="22"/>
        <v>0</v>
      </c>
      <c r="V88" s="336">
        <f t="shared" si="23"/>
        <v>0</v>
      </c>
      <c r="W88" s="336">
        <f t="shared" si="24"/>
        <v>0</v>
      </c>
      <c r="X88" s="336">
        <f t="shared" si="25"/>
        <v>5.4901960784313725E-2</v>
      </c>
      <c r="Y88" s="338">
        <f t="shared" si="15"/>
        <v>5.4901960784313725E-2</v>
      </c>
    </row>
    <row r="89" spans="1:25" ht="16.5" customHeight="1" thickTop="1" thickBot="1" x14ac:dyDescent="0.3">
      <c r="A89" s="279"/>
      <c r="B89" s="551"/>
      <c r="C89" s="629"/>
      <c r="D89" s="639"/>
      <c r="E89" s="56" t="s">
        <v>397</v>
      </c>
      <c r="F89" s="32" t="s">
        <v>398</v>
      </c>
      <c r="G89" s="20">
        <v>18</v>
      </c>
      <c r="H89" s="123">
        <f>'TABLA GENERAL'!D105</f>
        <v>220.08</v>
      </c>
      <c r="I89" s="115">
        <f t="shared" si="16"/>
        <v>3961.44</v>
      </c>
      <c r="J89" s="20">
        <v>0</v>
      </c>
      <c r="K89" s="60">
        <f t="shared" si="17"/>
        <v>0</v>
      </c>
      <c r="L89" s="15">
        <v>0</v>
      </c>
      <c r="M89" s="60">
        <f t="shared" si="18"/>
        <v>0</v>
      </c>
      <c r="N89" s="15">
        <v>0</v>
      </c>
      <c r="O89" s="60">
        <f t="shared" si="19"/>
        <v>0</v>
      </c>
      <c r="P89" s="20">
        <v>12</v>
      </c>
      <c r="Q89" s="60">
        <f t="shared" si="20"/>
        <v>2640.96</v>
      </c>
      <c r="R89" s="18">
        <f t="shared" si="21"/>
        <v>12</v>
      </c>
      <c r="S89" s="18">
        <f t="shared" si="21"/>
        <v>2640.96</v>
      </c>
      <c r="U89" s="336">
        <f t="shared" si="22"/>
        <v>0</v>
      </c>
      <c r="V89" s="336">
        <f t="shared" si="23"/>
        <v>0</v>
      </c>
      <c r="W89" s="336">
        <f t="shared" si="24"/>
        <v>0</v>
      </c>
      <c r="X89" s="336">
        <f t="shared" si="25"/>
        <v>0.66666666666666663</v>
      </c>
      <c r="Y89" s="338">
        <f t="shared" si="15"/>
        <v>0.66666666666666663</v>
      </c>
    </row>
    <row r="90" spans="1:25" ht="16.5" customHeight="1" thickTop="1" thickBot="1" x14ac:dyDescent="0.3">
      <c r="A90" s="279"/>
      <c r="B90" s="551"/>
      <c r="C90" s="629"/>
      <c r="D90" s="639"/>
      <c r="E90" s="56" t="s">
        <v>399</v>
      </c>
      <c r="F90" s="32" t="s">
        <v>400</v>
      </c>
      <c r="G90" s="20">
        <v>12</v>
      </c>
      <c r="H90" s="123">
        <f>'TABLA GENERAL'!D106</f>
        <v>304.33</v>
      </c>
      <c r="I90" s="115">
        <f t="shared" si="16"/>
        <v>3651.96</v>
      </c>
      <c r="J90" s="20">
        <v>0</v>
      </c>
      <c r="K90" s="60">
        <f t="shared" si="17"/>
        <v>0</v>
      </c>
      <c r="L90" s="15">
        <v>0</v>
      </c>
      <c r="M90" s="60">
        <f t="shared" si="18"/>
        <v>0</v>
      </c>
      <c r="N90" s="15">
        <v>0</v>
      </c>
      <c r="O90" s="60">
        <f t="shared" si="19"/>
        <v>0</v>
      </c>
      <c r="P90" s="20">
        <v>12</v>
      </c>
      <c r="Q90" s="60">
        <f t="shared" si="20"/>
        <v>3651.96</v>
      </c>
      <c r="R90" s="18">
        <f t="shared" si="21"/>
        <v>12</v>
      </c>
      <c r="S90" s="18">
        <f t="shared" si="21"/>
        <v>3651.96</v>
      </c>
      <c r="U90" s="336">
        <f t="shared" si="22"/>
        <v>0</v>
      </c>
      <c r="V90" s="336">
        <f t="shared" si="23"/>
        <v>0</v>
      </c>
      <c r="W90" s="336">
        <f t="shared" si="24"/>
        <v>0</v>
      </c>
      <c r="X90" s="336">
        <f t="shared" si="25"/>
        <v>1</v>
      </c>
      <c r="Y90" s="338">
        <f t="shared" si="15"/>
        <v>1</v>
      </c>
    </row>
    <row r="91" spans="1:25" ht="16.5" customHeight="1" thickTop="1" thickBot="1" x14ac:dyDescent="0.3">
      <c r="A91" s="279"/>
      <c r="B91" s="551"/>
      <c r="C91" s="629"/>
      <c r="D91" s="639"/>
      <c r="E91" s="56" t="s">
        <v>401</v>
      </c>
      <c r="F91" s="32" t="s">
        <v>402</v>
      </c>
      <c r="G91" s="20">
        <v>28</v>
      </c>
      <c r="H91" s="123">
        <f>'TABLA GENERAL'!D107</f>
        <v>55.78</v>
      </c>
      <c r="I91" s="115">
        <f t="shared" si="16"/>
        <v>1561.8400000000001</v>
      </c>
      <c r="J91" s="20">
        <v>0</v>
      </c>
      <c r="K91" s="60">
        <f t="shared" si="17"/>
        <v>0</v>
      </c>
      <c r="L91" s="15">
        <v>0</v>
      </c>
      <c r="M91" s="60">
        <f t="shared" si="18"/>
        <v>0</v>
      </c>
      <c r="N91" s="15">
        <v>0</v>
      </c>
      <c r="O91" s="60">
        <f t="shared" si="19"/>
        <v>0</v>
      </c>
      <c r="P91" s="20">
        <v>14</v>
      </c>
      <c r="Q91" s="60">
        <f t="shared" si="20"/>
        <v>780.92000000000007</v>
      </c>
      <c r="R91" s="18">
        <f t="shared" si="21"/>
        <v>14</v>
      </c>
      <c r="S91" s="18">
        <f t="shared" si="21"/>
        <v>780.92000000000007</v>
      </c>
      <c r="U91" s="336">
        <f t="shared" si="22"/>
        <v>0</v>
      </c>
      <c r="V91" s="336">
        <f t="shared" si="23"/>
        <v>0</v>
      </c>
      <c r="W91" s="336">
        <f t="shared" si="24"/>
        <v>0</v>
      </c>
      <c r="X91" s="336">
        <f t="shared" si="25"/>
        <v>0.5</v>
      </c>
      <c r="Y91" s="338">
        <f t="shared" si="15"/>
        <v>0.5</v>
      </c>
    </row>
    <row r="92" spans="1:25" ht="16.5" customHeight="1" thickTop="1" thickBot="1" x14ac:dyDescent="0.3">
      <c r="A92" s="280"/>
      <c r="B92" s="551"/>
      <c r="C92" s="629"/>
      <c r="D92" s="639"/>
      <c r="E92" s="56" t="s">
        <v>403</v>
      </c>
      <c r="F92" s="57" t="s">
        <v>404</v>
      </c>
      <c r="G92" s="20">
        <v>28</v>
      </c>
      <c r="H92" s="123">
        <f>'TABLA GENERAL'!D108</f>
        <v>48.74</v>
      </c>
      <c r="I92" s="115">
        <f t="shared" si="16"/>
        <v>1364.72</v>
      </c>
      <c r="J92" s="20">
        <v>0</v>
      </c>
      <c r="K92" s="60">
        <f t="shared" si="17"/>
        <v>0</v>
      </c>
      <c r="L92" s="15">
        <v>0</v>
      </c>
      <c r="M92" s="60">
        <f t="shared" si="18"/>
        <v>0</v>
      </c>
      <c r="N92" s="15">
        <v>0</v>
      </c>
      <c r="O92" s="60">
        <f t="shared" si="19"/>
        <v>0</v>
      </c>
      <c r="P92" s="20">
        <v>14</v>
      </c>
      <c r="Q92" s="60">
        <f t="shared" si="20"/>
        <v>682.36</v>
      </c>
      <c r="R92" s="18">
        <f t="shared" si="21"/>
        <v>14</v>
      </c>
      <c r="S92" s="18">
        <f t="shared" si="21"/>
        <v>682.36</v>
      </c>
      <c r="U92" s="336">
        <f t="shared" si="22"/>
        <v>0</v>
      </c>
      <c r="V92" s="336">
        <f t="shared" si="23"/>
        <v>0</v>
      </c>
      <c r="W92" s="336">
        <f t="shared" si="24"/>
        <v>0</v>
      </c>
      <c r="X92" s="336">
        <f t="shared" si="25"/>
        <v>0.5</v>
      </c>
      <c r="Y92" s="338">
        <f t="shared" si="15"/>
        <v>0.5</v>
      </c>
    </row>
    <row r="93" spans="1:25" ht="16.5" customHeight="1" thickTop="1" thickBot="1" x14ac:dyDescent="0.3">
      <c r="A93" s="281" t="s">
        <v>309</v>
      </c>
      <c r="B93" s="551"/>
      <c r="C93" s="629"/>
      <c r="D93" s="639"/>
      <c r="E93" s="56" t="s">
        <v>405</v>
      </c>
      <c r="F93" s="48" t="s">
        <v>406</v>
      </c>
      <c r="G93" s="15">
        <v>28</v>
      </c>
      <c r="H93" s="59">
        <f>'TABLA GENERAL'!D111</f>
        <v>243.21</v>
      </c>
      <c r="I93" s="115">
        <f t="shared" si="16"/>
        <v>6809.88</v>
      </c>
      <c r="J93" s="20">
        <v>0</v>
      </c>
      <c r="K93" s="60">
        <f t="shared" si="17"/>
        <v>0</v>
      </c>
      <c r="L93" s="20">
        <v>0</v>
      </c>
      <c r="M93" s="60">
        <f t="shared" si="18"/>
        <v>0</v>
      </c>
      <c r="N93" s="19">
        <v>0</v>
      </c>
      <c r="O93" s="60">
        <f t="shared" si="19"/>
        <v>0</v>
      </c>
      <c r="P93" s="19">
        <v>14</v>
      </c>
      <c r="Q93" s="60">
        <f t="shared" si="20"/>
        <v>3404.94</v>
      </c>
      <c r="R93" s="18">
        <f t="shared" si="21"/>
        <v>14</v>
      </c>
      <c r="S93" s="18">
        <f t="shared" si="21"/>
        <v>3404.94</v>
      </c>
      <c r="U93" s="336">
        <f t="shared" si="22"/>
        <v>0</v>
      </c>
      <c r="V93" s="336">
        <f t="shared" si="23"/>
        <v>0</v>
      </c>
      <c r="W93" s="336">
        <f t="shared" si="24"/>
        <v>0</v>
      </c>
      <c r="X93" s="336">
        <f t="shared" si="25"/>
        <v>0.5</v>
      </c>
      <c r="Y93" s="338">
        <f t="shared" si="15"/>
        <v>0.5</v>
      </c>
    </row>
    <row r="94" spans="1:25" ht="16.5" customHeight="1" thickTop="1" thickBot="1" x14ac:dyDescent="0.3">
      <c r="A94" s="279"/>
      <c r="B94" s="551"/>
      <c r="C94" s="629"/>
      <c r="D94" s="639"/>
      <c r="E94" s="56" t="s">
        <v>407</v>
      </c>
      <c r="F94" s="32" t="s">
        <v>722</v>
      </c>
      <c r="G94" s="20">
        <v>28</v>
      </c>
      <c r="H94" s="59">
        <f>'TABLA GENERAL'!D112</f>
        <v>183.74</v>
      </c>
      <c r="I94" s="115">
        <f t="shared" si="16"/>
        <v>5144.72</v>
      </c>
      <c r="J94" s="20">
        <v>0</v>
      </c>
      <c r="K94" s="60">
        <f t="shared" si="17"/>
        <v>0</v>
      </c>
      <c r="L94" s="20">
        <v>0</v>
      </c>
      <c r="M94" s="60">
        <f t="shared" si="18"/>
        <v>0</v>
      </c>
      <c r="N94" s="19">
        <v>0</v>
      </c>
      <c r="O94" s="60">
        <f t="shared" si="19"/>
        <v>0</v>
      </c>
      <c r="P94" s="19">
        <v>14</v>
      </c>
      <c r="Q94" s="60">
        <f t="shared" si="20"/>
        <v>2572.36</v>
      </c>
      <c r="R94" s="18">
        <f t="shared" si="21"/>
        <v>14</v>
      </c>
      <c r="S94" s="18">
        <f t="shared" si="21"/>
        <v>2572.36</v>
      </c>
      <c r="U94" s="336">
        <f t="shared" si="22"/>
        <v>0</v>
      </c>
      <c r="V94" s="336">
        <f t="shared" si="23"/>
        <v>0</v>
      </c>
      <c r="W94" s="336">
        <f t="shared" si="24"/>
        <v>0</v>
      </c>
      <c r="X94" s="336">
        <f t="shared" si="25"/>
        <v>0.5</v>
      </c>
      <c r="Y94" s="338">
        <f t="shared" si="15"/>
        <v>0.5</v>
      </c>
    </row>
    <row r="95" spans="1:25" ht="16.5" customHeight="1" thickTop="1" thickBot="1" x14ac:dyDescent="0.3">
      <c r="A95" s="279"/>
      <c r="B95" s="551"/>
      <c r="C95" s="629"/>
      <c r="D95" s="639"/>
      <c r="E95" s="56" t="s">
        <v>408</v>
      </c>
      <c r="F95" s="32" t="s">
        <v>409</v>
      </c>
      <c r="G95" s="20">
        <v>28</v>
      </c>
      <c r="H95" s="59">
        <f>'TABLA GENERAL'!D113</f>
        <v>144.34</v>
      </c>
      <c r="I95" s="115">
        <f t="shared" si="16"/>
        <v>4041.52</v>
      </c>
      <c r="J95" s="20">
        <v>0</v>
      </c>
      <c r="K95" s="60">
        <f t="shared" si="17"/>
        <v>0</v>
      </c>
      <c r="L95" s="20">
        <v>0</v>
      </c>
      <c r="M95" s="60">
        <f t="shared" si="18"/>
        <v>0</v>
      </c>
      <c r="N95" s="19">
        <v>0</v>
      </c>
      <c r="O95" s="60">
        <f t="shared" si="19"/>
        <v>0</v>
      </c>
      <c r="P95" s="19">
        <v>14</v>
      </c>
      <c r="Q95" s="60">
        <f t="shared" si="20"/>
        <v>2020.76</v>
      </c>
      <c r="R95" s="18">
        <f t="shared" si="21"/>
        <v>14</v>
      </c>
      <c r="S95" s="18">
        <f t="shared" si="21"/>
        <v>2020.76</v>
      </c>
      <c r="U95" s="336">
        <f t="shared" si="22"/>
        <v>0</v>
      </c>
      <c r="V95" s="336">
        <f t="shared" si="23"/>
        <v>0</v>
      </c>
      <c r="W95" s="336">
        <f t="shared" si="24"/>
        <v>0</v>
      </c>
      <c r="X95" s="336">
        <f t="shared" si="25"/>
        <v>0.5</v>
      </c>
      <c r="Y95" s="338">
        <f t="shared" si="15"/>
        <v>0.5</v>
      </c>
    </row>
    <row r="96" spans="1:25" ht="16.5" customHeight="1" thickTop="1" thickBot="1" x14ac:dyDescent="0.3">
      <c r="A96" s="279"/>
      <c r="B96" s="551"/>
      <c r="C96" s="629"/>
      <c r="D96" s="639"/>
      <c r="E96" s="56" t="s">
        <v>410</v>
      </c>
      <c r="F96" s="32" t="s">
        <v>411</v>
      </c>
      <c r="G96" s="20">
        <v>4</v>
      </c>
      <c r="H96" s="59">
        <f>'TABLA GENERAL'!D114</f>
        <v>3218</v>
      </c>
      <c r="I96" s="115">
        <f t="shared" si="16"/>
        <v>12872</v>
      </c>
      <c r="J96" s="20">
        <v>0</v>
      </c>
      <c r="K96" s="60">
        <f t="shared" si="17"/>
        <v>0</v>
      </c>
      <c r="L96" s="20">
        <v>0</v>
      </c>
      <c r="M96" s="60">
        <f t="shared" si="18"/>
        <v>0</v>
      </c>
      <c r="N96" s="19">
        <v>0</v>
      </c>
      <c r="O96" s="60">
        <f t="shared" si="19"/>
        <v>0</v>
      </c>
      <c r="P96" s="19">
        <v>4</v>
      </c>
      <c r="Q96" s="60">
        <f t="shared" si="20"/>
        <v>12872</v>
      </c>
      <c r="R96" s="18">
        <f t="shared" si="21"/>
        <v>4</v>
      </c>
      <c r="S96" s="18">
        <f t="shared" si="21"/>
        <v>12872</v>
      </c>
      <c r="U96" s="336">
        <f t="shared" si="22"/>
        <v>0</v>
      </c>
      <c r="V96" s="336">
        <f t="shared" si="23"/>
        <v>0</v>
      </c>
      <c r="W96" s="336">
        <f t="shared" si="24"/>
        <v>0</v>
      </c>
      <c r="X96" s="336">
        <f t="shared" si="25"/>
        <v>1</v>
      </c>
      <c r="Y96" s="338">
        <f t="shared" si="15"/>
        <v>1</v>
      </c>
    </row>
    <row r="97" spans="1:25" ht="16.5" customHeight="1" thickTop="1" thickBot="1" x14ac:dyDescent="0.3">
      <c r="A97" s="279"/>
      <c r="B97" s="551"/>
      <c r="C97" s="629"/>
      <c r="D97" s="639"/>
      <c r="E97" s="56" t="s">
        <v>412</v>
      </c>
      <c r="F97" s="32" t="s">
        <v>413</v>
      </c>
      <c r="G97" s="20">
        <v>28</v>
      </c>
      <c r="H97" s="59">
        <f>'TABLA GENERAL'!D115</f>
        <v>608.75</v>
      </c>
      <c r="I97" s="115">
        <f t="shared" si="16"/>
        <v>17045</v>
      </c>
      <c r="J97" s="20">
        <v>0</v>
      </c>
      <c r="K97" s="60">
        <f t="shared" si="17"/>
        <v>0</v>
      </c>
      <c r="L97" s="20">
        <v>0</v>
      </c>
      <c r="M97" s="60">
        <f t="shared" si="18"/>
        <v>0</v>
      </c>
      <c r="N97" s="19">
        <v>0</v>
      </c>
      <c r="O97" s="60">
        <f t="shared" si="19"/>
        <v>0</v>
      </c>
      <c r="P97" s="19">
        <v>14</v>
      </c>
      <c r="Q97" s="60">
        <f t="shared" si="20"/>
        <v>8522.5</v>
      </c>
      <c r="R97" s="18">
        <f t="shared" si="21"/>
        <v>14</v>
      </c>
      <c r="S97" s="18">
        <f t="shared" si="21"/>
        <v>8522.5</v>
      </c>
      <c r="U97" s="336">
        <f t="shared" si="22"/>
        <v>0</v>
      </c>
      <c r="V97" s="336">
        <f t="shared" si="23"/>
        <v>0</v>
      </c>
      <c r="W97" s="336">
        <f t="shared" si="24"/>
        <v>0</v>
      </c>
      <c r="X97" s="336">
        <f t="shared" si="25"/>
        <v>0.5</v>
      </c>
      <c r="Y97" s="338">
        <f t="shared" si="15"/>
        <v>0.5</v>
      </c>
    </row>
    <row r="98" spans="1:25" ht="16.5" customHeight="1" thickTop="1" thickBot="1" x14ac:dyDescent="0.3">
      <c r="A98" s="279"/>
      <c r="B98" s="551"/>
      <c r="C98" s="629"/>
      <c r="D98" s="639"/>
      <c r="E98" s="56" t="s">
        <v>414</v>
      </c>
      <c r="F98" s="32" t="s">
        <v>415</v>
      </c>
      <c r="G98" s="20">
        <v>28</v>
      </c>
      <c r="H98" s="59">
        <f>'TABLA GENERAL'!D116</f>
        <v>954.84</v>
      </c>
      <c r="I98" s="115">
        <f t="shared" si="16"/>
        <v>26735.52</v>
      </c>
      <c r="J98" s="20">
        <v>0</v>
      </c>
      <c r="K98" s="60">
        <f t="shared" si="17"/>
        <v>0</v>
      </c>
      <c r="L98" s="20">
        <v>0</v>
      </c>
      <c r="M98" s="60">
        <f t="shared" si="18"/>
        <v>0</v>
      </c>
      <c r="N98" s="19">
        <v>0</v>
      </c>
      <c r="O98" s="60">
        <f t="shared" si="19"/>
        <v>0</v>
      </c>
      <c r="P98" s="19">
        <v>14</v>
      </c>
      <c r="Q98" s="60">
        <f t="shared" si="20"/>
        <v>13367.76</v>
      </c>
      <c r="R98" s="18">
        <f t="shared" si="21"/>
        <v>14</v>
      </c>
      <c r="S98" s="18">
        <f t="shared" si="21"/>
        <v>13367.76</v>
      </c>
      <c r="U98" s="336">
        <f t="shared" si="22"/>
        <v>0</v>
      </c>
      <c r="V98" s="336">
        <f t="shared" si="23"/>
        <v>0</v>
      </c>
      <c r="W98" s="336">
        <f t="shared" si="24"/>
        <v>0</v>
      </c>
      <c r="X98" s="336">
        <f t="shared" si="25"/>
        <v>0.5</v>
      </c>
      <c r="Y98" s="338">
        <f t="shared" si="15"/>
        <v>0.5</v>
      </c>
    </row>
    <row r="99" spans="1:25" ht="16.5" customHeight="1" thickTop="1" thickBot="1" x14ac:dyDescent="0.3">
      <c r="A99" s="279"/>
      <c r="B99" s="551"/>
      <c r="C99" s="629"/>
      <c r="D99" s="639"/>
      <c r="E99" s="56" t="s">
        <v>416</v>
      </c>
      <c r="F99" s="32" t="s">
        <v>417</v>
      </c>
      <c r="G99" s="20">
        <v>28</v>
      </c>
      <c r="H99" s="59">
        <f>'TABLA GENERAL'!D117</f>
        <v>789.12</v>
      </c>
      <c r="I99" s="115">
        <f t="shared" si="16"/>
        <v>22095.360000000001</v>
      </c>
      <c r="J99" s="20">
        <v>0</v>
      </c>
      <c r="K99" s="60">
        <f t="shared" si="17"/>
        <v>0</v>
      </c>
      <c r="L99" s="20">
        <v>0</v>
      </c>
      <c r="M99" s="60">
        <f t="shared" si="18"/>
        <v>0</v>
      </c>
      <c r="N99" s="19">
        <v>0</v>
      </c>
      <c r="O99" s="60">
        <f t="shared" si="19"/>
        <v>0</v>
      </c>
      <c r="P99" s="19">
        <v>14</v>
      </c>
      <c r="Q99" s="60">
        <f t="shared" si="20"/>
        <v>11047.68</v>
      </c>
      <c r="R99" s="18">
        <f t="shared" si="21"/>
        <v>14</v>
      </c>
      <c r="S99" s="18">
        <f t="shared" si="21"/>
        <v>11047.68</v>
      </c>
      <c r="U99" s="336">
        <f t="shared" si="22"/>
        <v>0</v>
      </c>
      <c r="V99" s="336">
        <f t="shared" si="23"/>
        <v>0</v>
      </c>
      <c r="W99" s="336">
        <f t="shared" si="24"/>
        <v>0</v>
      </c>
      <c r="X99" s="336">
        <f t="shared" si="25"/>
        <v>0.5</v>
      </c>
      <c r="Y99" s="338">
        <f t="shared" si="15"/>
        <v>0.5</v>
      </c>
    </row>
    <row r="100" spans="1:25" ht="16.5" customHeight="1" thickTop="1" thickBot="1" x14ac:dyDescent="0.3">
      <c r="A100" s="279"/>
      <c r="B100" s="551"/>
      <c r="C100" s="629"/>
      <c r="D100" s="639"/>
      <c r="E100" s="56" t="s">
        <v>418</v>
      </c>
      <c r="F100" s="32" t="s">
        <v>419</v>
      </c>
      <c r="G100" s="15">
        <v>28</v>
      </c>
      <c r="H100" s="59">
        <f>'TABLA GENERAL'!D118</f>
        <v>77.3</v>
      </c>
      <c r="I100" s="115">
        <f t="shared" si="16"/>
        <v>2164.4</v>
      </c>
      <c r="J100" s="20">
        <v>0</v>
      </c>
      <c r="K100" s="60">
        <f t="shared" si="17"/>
        <v>0</v>
      </c>
      <c r="L100" s="20">
        <v>0</v>
      </c>
      <c r="M100" s="60">
        <f t="shared" si="18"/>
        <v>0</v>
      </c>
      <c r="N100" s="19">
        <v>0</v>
      </c>
      <c r="O100" s="60">
        <f t="shared" si="19"/>
        <v>0</v>
      </c>
      <c r="P100" s="19">
        <v>14</v>
      </c>
      <c r="Q100" s="60">
        <f t="shared" si="20"/>
        <v>1082.2</v>
      </c>
      <c r="R100" s="18">
        <f t="shared" si="21"/>
        <v>14</v>
      </c>
      <c r="S100" s="18">
        <f t="shared" si="21"/>
        <v>1082.2</v>
      </c>
      <c r="U100" s="336">
        <f t="shared" si="22"/>
        <v>0</v>
      </c>
      <c r="V100" s="336">
        <f t="shared" si="23"/>
        <v>0</v>
      </c>
      <c r="W100" s="336">
        <f t="shared" si="24"/>
        <v>0</v>
      </c>
      <c r="X100" s="336">
        <f t="shared" si="25"/>
        <v>0.5</v>
      </c>
      <c r="Y100" s="338">
        <f t="shared" si="15"/>
        <v>0.5</v>
      </c>
    </row>
    <row r="101" spans="1:25" ht="16.5" customHeight="1" thickTop="1" thickBot="1" x14ac:dyDescent="0.3">
      <c r="A101" s="279"/>
      <c r="B101" s="551"/>
      <c r="C101" s="629"/>
      <c r="D101" s="639"/>
      <c r="E101" s="56" t="s">
        <v>420</v>
      </c>
      <c r="F101" s="32" t="s">
        <v>421</v>
      </c>
      <c r="G101" s="15">
        <v>28</v>
      </c>
      <c r="H101" s="59">
        <f>'TABLA GENERAL'!D119</f>
        <v>192.94</v>
      </c>
      <c r="I101" s="115">
        <f t="shared" si="16"/>
        <v>5402.32</v>
      </c>
      <c r="J101" s="20">
        <v>0</v>
      </c>
      <c r="K101" s="60">
        <f t="shared" si="17"/>
        <v>0</v>
      </c>
      <c r="L101" s="20">
        <v>0</v>
      </c>
      <c r="M101" s="60">
        <f t="shared" si="18"/>
        <v>0</v>
      </c>
      <c r="N101" s="19">
        <v>0</v>
      </c>
      <c r="O101" s="60">
        <f t="shared" si="19"/>
        <v>0</v>
      </c>
      <c r="P101" s="19">
        <v>14</v>
      </c>
      <c r="Q101" s="60">
        <f t="shared" si="20"/>
        <v>2701.16</v>
      </c>
      <c r="R101" s="18">
        <f t="shared" si="21"/>
        <v>14</v>
      </c>
      <c r="S101" s="18">
        <f t="shared" si="21"/>
        <v>2701.16</v>
      </c>
      <c r="U101" s="336">
        <f t="shared" si="22"/>
        <v>0</v>
      </c>
      <c r="V101" s="336">
        <f t="shared" si="23"/>
        <v>0</v>
      </c>
      <c r="W101" s="336">
        <f t="shared" si="24"/>
        <v>0</v>
      </c>
      <c r="X101" s="336">
        <f t="shared" si="25"/>
        <v>0.5</v>
      </c>
      <c r="Y101" s="338">
        <f t="shared" si="15"/>
        <v>0.5</v>
      </c>
    </row>
    <row r="102" spans="1:25" ht="16.5" customHeight="1" thickTop="1" thickBot="1" x14ac:dyDescent="0.3">
      <c r="A102" s="279"/>
      <c r="B102" s="552"/>
      <c r="C102" s="635"/>
      <c r="D102" s="651"/>
      <c r="E102" s="56" t="s">
        <v>422</v>
      </c>
      <c r="F102" s="32" t="s">
        <v>423</v>
      </c>
      <c r="G102" s="15">
        <v>28</v>
      </c>
      <c r="H102" s="59">
        <f>'TABLA GENERAL'!D120</f>
        <v>550</v>
      </c>
      <c r="I102" s="115">
        <f t="shared" si="16"/>
        <v>15400</v>
      </c>
      <c r="J102" s="20">
        <v>0</v>
      </c>
      <c r="K102" s="60">
        <f t="shared" si="17"/>
        <v>0</v>
      </c>
      <c r="L102" s="20">
        <v>0</v>
      </c>
      <c r="M102" s="60">
        <f t="shared" si="18"/>
        <v>0</v>
      </c>
      <c r="N102" s="19">
        <v>0</v>
      </c>
      <c r="O102" s="60">
        <f t="shared" si="19"/>
        <v>0</v>
      </c>
      <c r="P102" s="19">
        <v>14</v>
      </c>
      <c r="Q102" s="60">
        <f t="shared" si="20"/>
        <v>7700</v>
      </c>
      <c r="R102" s="18">
        <f t="shared" si="21"/>
        <v>14</v>
      </c>
      <c r="S102" s="18">
        <f t="shared" si="21"/>
        <v>7700</v>
      </c>
      <c r="U102" s="336">
        <f t="shared" si="22"/>
        <v>0</v>
      </c>
      <c r="V102" s="336">
        <f t="shared" si="23"/>
        <v>0</v>
      </c>
      <c r="W102" s="336">
        <f t="shared" si="24"/>
        <v>0</v>
      </c>
      <c r="X102" s="336">
        <f t="shared" si="25"/>
        <v>0.5</v>
      </c>
      <c r="Y102" s="338">
        <f t="shared" si="15"/>
        <v>0.5</v>
      </c>
    </row>
    <row r="103" spans="1:25" ht="90" customHeight="1" thickBot="1" x14ac:dyDescent="0.3">
      <c r="A103" s="279"/>
      <c r="B103" s="550" t="s">
        <v>752</v>
      </c>
      <c r="C103" s="629"/>
      <c r="D103" s="639"/>
      <c r="E103" s="314"/>
      <c r="F103" s="112" t="s">
        <v>85</v>
      </c>
      <c r="G103" s="314" t="s">
        <v>229</v>
      </c>
      <c r="H103" s="314" t="s">
        <v>123</v>
      </c>
      <c r="I103" s="113" t="s">
        <v>230</v>
      </c>
      <c r="J103" s="314">
        <v>2021</v>
      </c>
      <c r="K103" s="314" t="s">
        <v>79</v>
      </c>
      <c r="L103" s="314">
        <v>2022</v>
      </c>
      <c r="M103" s="314" t="s">
        <v>79</v>
      </c>
      <c r="N103" s="314">
        <v>2023</v>
      </c>
      <c r="O103" s="314" t="s">
        <v>79</v>
      </c>
      <c r="P103" s="314">
        <v>2025</v>
      </c>
      <c r="Q103" s="314" t="s">
        <v>79</v>
      </c>
      <c r="R103" s="314" t="s">
        <v>124</v>
      </c>
      <c r="S103" s="314" t="s">
        <v>77</v>
      </c>
      <c r="U103" s="335">
        <v>2021</v>
      </c>
      <c r="V103" s="335">
        <v>2022</v>
      </c>
      <c r="W103" s="335">
        <v>2023</v>
      </c>
      <c r="X103" s="335">
        <v>2025</v>
      </c>
      <c r="Y103" s="335" t="s">
        <v>124</v>
      </c>
    </row>
    <row r="104" spans="1:25" ht="16.5" customHeight="1" thickTop="1" thickBot="1" x14ac:dyDescent="0.3">
      <c r="A104" s="279"/>
      <c r="B104" s="551"/>
      <c r="C104" s="627" t="s">
        <v>424</v>
      </c>
      <c r="D104" s="637" t="s">
        <v>425</v>
      </c>
      <c r="E104" s="56" t="s">
        <v>76</v>
      </c>
      <c r="F104" s="32" t="s">
        <v>75</v>
      </c>
      <c r="G104" s="15">
        <v>4</v>
      </c>
      <c r="H104" s="59">
        <f>'TABLA GENERAL'!D121</f>
        <v>15700</v>
      </c>
      <c r="I104" s="115">
        <f t="shared" si="16"/>
        <v>62800</v>
      </c>
      <c r="J104" s="20">
        <v>0</v>
      </c>
      <c r="K104" s="60">
        <f t="shared" si="17"/>
        <v>0</v>
      </c>
      <c r="L104" s="20">
        <v>0</v>
      </c>
      <c r="M104" s="60">
        <f t="shared" si="18"/>
        <v>0</v>
      </c>
      <c r="N104" s="19">
        <v>1</v>
      </c>
      <c r="O104" s="60">
        <f t="shared" si="19"/>
        <v>15700</v>
      </c>
      <c r="P104" s="19">
        <v>3</v>
      </c>
      <c r="Q104" s="60">
        <f t="shared" si="20"/>
        <v>47100</v>
      </c>
      <c r="R104" s="18">
        <f t="shared" si="21"/>
        <v>4</v>
      </c>
      <c r="S104" s="18">
        <f t="shared" si="21"/>
        <v>62800</v>
      </c>
      <c r="U104" s="336">
        <f t="shared" ref="U104:U131" si="26">+J104/G104</f>
        <v>0</v>
      </c>
      <c r="V104" s="336">
        <f t="shared" ref="V104:V131" si="27">+L104/G104</f>
        <v>0</v>
      </c>
      <c r="W104" s="336">
        <f t="shared" ref="W104:W131" si="28">+N104/G104</f>
        <v>0.25</v>
      </c>
      <c r="X104" s="336">
        <f t="shared" ref="X104:X131" si="29">+P104/G104</f>
        <v>0.75</v>
      </c>
      <c r="Y104" s="338">
        <f t="shared" si="15"/>
        <v>1</v>
      </c>
    </row>
    <row r="105" spans="1:25" ht="76.5" customHeight="1" thickTop="1" thickBot="1" x14ac:dyDescent="0.3">
      <c r="A105" s="279"/>
      <c r="B105" s="551"/>
      <c r="C105" s="629"/>
      <c r="D105" s="638"/>
      <c r="E105" s="56" t="s">
        <v>74</v>
      </c>
      <c r="F105" s="32" t="s">
        <v>73</v>
      </c>
      <c r="G105" s="15">
        <v>4</v>
      </c>
      <c r="H105" s="59">
        <f>'TABLA GENERAL'!D122</f>
        <v>45800</v>
      </c>
      <c r="I105" s="115">
        <f t="shared" si="16"/>
        <v>183200</v>
      </c>
      <c r="J105" s="20">
        <v>0</v>
      </c>
      <c r="K105" s="60">
        <f t="shared" si="17"/>
        <v>0</v>
      </c>
      <c r="L105" s="20">
        <v>0</v>
      </c>
      <c r="M105" s="60">
        <f t="shared" si="18"/>
        <v>0</v>
      </c>
      <c r="N105" s="19">
        <v>1</v>
      </c>
      <c r="O105" s="60">
        <f t="shared" si="19"/>
        <v>45800</v>
      </c>
      <c r="P105" s="19">
        <v>1</v>
      </c>
      <c r="Q105" s="60">
        <f t="shared" si="20"/>
        <v>45800</v>
      </c>
      <c r="R105" s="18">
        <f t="shared" si="21"/>
        <v>2</v>
      </c>
      <c r="S105" s="18">
        <f t="shared" si="21"/>
        <v>91600</v>
      </c>
      <c r="U105" s="336">
        <f t="shared" si="26"/>
        <v>0</v>
      </c>
      <c r="V105" s="336">
        <f t="shared" si="27"/>
        <v>0</v>
      </c>
      <c r="W105" s="336">
        <f t="shared" si="28"/>
        <v>0.25</v>
      </c>
      <c r="X105" s="336">
        <f t="shared" si="29"/>
        <v>0.25</v>
      </c>
      <c r="Y105" s="338">
        <f t="shared" si="15"/>
        <v>0.5</v>
      </c>
    </row>
    <row r="106" spans="1:25" ht="16.5" customHeight="1" thickTop="1" thickBot="1" x14ac:dyDescent="0.3">
      <c r="A106" s="279"/>
      <c r="B106" s="551"/>
      <c r="C106" s="629"/>
      <c r="D106" s="638"/>
      <c r="E106" s="56" t="s">
        <v>72</v>
      </c>
      <c r="F106" s="32" t="s">
        <v>71</v>
      </c>
      <c r="G106" s="15">
        <v>28</v>
      </c>
      <c r="H106" s="59">
        <f>'TABLA GENERAL'!D123</f>
        <v>4090</v>
      </c>
      <c r="I106" s="115">
        <f t="shared" si="16"/>
        <v>114520</v>
      </c>
      <c r="J106" s="20">
        <v>0</v>
      </c>
      <c r="K106" s="60">
        <f t="shared" si="17"/>
        <v>0</v>
      </c>
      <c r="L106" s="20">
        <v>0</v>
      </c>
      <c r="M106" s="60">
        <f t="shared" si="18"/>
        <v>0</v>
      </c>
      <c r="N106" s="19">
        <v>9</v>
      </c>
      <c r="O106" s="60">
        <f t="shared" si="19"/>
        <v>36810</v>
      </c>
      <c r="P106" s="19">
        <v>10</v>
      </c>
      <c r="Q106" s="60">
        <f t="shared" si="20"/>
        <v>40900</v>
      </c>
      <c r="R106" s="18">
        <f t="shared" si="21"/>
        <v>19</v>
      </c>
      <c r="S106" s="18">
        <f t="shared" si="21"/>
        <v>77710</v>
      </c>
      <c r="U106" s="336">
        <f t="shared" si="26"/>
        <v>0</v>
      </c>
      <c r="V106" s="336">
        <f t="shared" si="27"/>
        <v>0</v>
      </c>
      <c r="W106" s="336">
        <f t="shared" si="28"/>
        <v>0.32142857142857145</v>
      </c>
      <c r="X106" s="336">
        <f t="shared" si="29"/>
        <v>0.35714285714285715</v>
      </c>
      <c r="Y106" s="338">
        <f t="shared" si="15"/>
        <v>0.6785714285714286</v>
      </c>
    </row>
    <row r="107" spans="1:25" ht="16.5" customHeight="1" thickTop="1" thickBot="1" x14ac:dyDescent="0.3">
      <c r="A107" s="279"/>
      <c r="B107" s="551"/>
      <c r="C107" s="629"/>
      <c r="D107" s="638"/>
      <c r="E107" s="56" t="s">
        <v>339</v>
      </c>
      <c r="F107" s="32" t="s">
        <v>426</v>
      </c>
      <c r="G107" s="15">
        <v>28</v>
      </c>
      <c r="H107" s="59">
        <f>'TABLA GENERAL'!D124</f>
        <v>3650</v>
      </c>
      <c r="I107" s="115">
        <f t="shared" si="16"/>
        <v>102200</v>
      </c>
      <c r="J107" s="20">
        <v>0</v>
      </c>
      <c r="K107" s="60">
        <f t="shared" si="17"/>
        <v>0</v>
      </c>
      <c r="L107" s="20">
        <v>0</v>
      </c>
      <c r="M107" s="60">
        <f t="shared" si="18"/>
        <v>0</v>
      </c>
      <c r="N107" s="19">
        <v>9</v>
      </c>
      <c r="O107" s="60">
        <f t="shared" si="19"/>
        <v>32850</v>
      </c>
      <c r="P107" s="19">
        <v>10</v>
      </c>
      <c r="Q107" s="60">
        <f t="shared" si="20"/>
        <v>36500</v>
      </c>
      <c r="R107" s="18">
        <f t="shared" si="21"/>
        <v>19</v>
      </c>
      <c r="S107" s="18">
        <f t="shared" si="21"/>
        <v>69350</v>
      </c>
      <c r="U107" s="336">
        <f t="shared" si="26"/>
        <v>0</v>
      </c>
      <c r="V107" s="336">
        <f t="shared" si="27"/>
        <v>0</v>
      </c>
      <c r="W107" s="336">
        <f t="shared" si="28"/>
        <v>0.32142857142857145</v>
      </c>
      <c r="X107" s="336">
        <f t="shared" si="29"/>
        <v>0.35714285714285715</v>
      </c>
      <c r="Y107" s="338">
        <f t="shared" si="15"/>
        <v>0.6785714285714286</v>
      </c>
    </row>
    <row r="108" spans="1:25" ht="31.5" thickTop="1" thickBot="1" x14ac:dyDescent="0.3">
      <c r="A108" s="279"/>
      <c r="B108" s="551"/>
      <c r="C108" s="629"/>
      <c r="D108" s="638"/>
      <c r="E108" s="56" t="s">
        <v>427</v>
      </c>
      <c r="F108" s="32" t="s">
        <v>428</v>
      </c>
      <c r="G108" s="15">
        <v>8</v>
      </c>
      <c r="H108" s="59">
        <f>'TABLA GENERAL'!D125</f>
        <v>5100</v>
      </c>
      <c r="I108" s="115">
        <f t="shared" si="16"/>
        <v>40800</v>
      </c>
      <c r="J108" s="20">
        <v>0</v>
      </c>
      <c r="K108" s="60">
        <f t="shared" si="17"/>
        <v>0</v>
      </c>
      <c r="L108" s="20">
        <v>0</v>
      </c>
      <c r="M108" s="60">
        <f t="shared" si="18"/>
        <v>0</v>
      </c>
      <c r="N108" s="19">
        <v>3</v>
      </c>
      <c r="O108" s="60">
        <f t="shared" si="19"/>
        <v>15300</v>
      </c>
      <c r="P108" s="19">
        <v>5</v>
      </c>
      <c r="Q108" s="60">
        <f t="shared" si="20"/>
        <v>25500</v>
      </c>
      <c r="R108" s="18">
        <f t="shared" si="21"/>
        <v>8</v>
      </c>
      <c r="S108" s="18">
        <f t="shared" si="21"/>
        <v>40800</v>
      </c>
      <c r="U108" s="336">
        <f t="shared" si="26"/>
        <v>0</v>
      </c>
      <c r="V108" s="336">
        <f t="shared" si="27"/>
        <v>0</v>
      </c>
      <c r="W108" s="336">
        <f t="shared" si="28"/>
        <v>0.375</v>
      </c>
      <c r="X108" s="336">
        <f t="shared" si="29"/>
        <v>0.625</v>
      </c>
      <c r="Y108" s="338">
        <f t="shared" ref="Y108:Y131" si="30">+R108/G108</f>
        <v>1</v>
      </c>
    </row>
    <row r="109" spans="1:25" ht="16.5" customHeight="1" thickTop="1" thickBot="1" x14ac:dyDescent="0.3">
      <c r="A109" s="279"/>
      <c r="B109" s="551"/>
      <c r="C109" s="629"/>
      <c r="D109" s="638"/>
      <c r="E109" s="56" t="s">
        <v>429</v>
      </c>
      <c r="F109" s="32" t="s">
        <v>430</v>
      </c>
      <c r="G109" s="15">
        <v>84</v>
      </c>
      <c r="H109" s="59">
        <f>'TABLA GENERAL'!D126</f>
        <v>20800</v>
      </c>
      <c r="I109" s="115">
        <f t="shared" si="16"/>
        <v>1747200</v>
      </c>
      <c r="J109" s="20">
        <v>0</v>
      </c>
      <c r="K109" s="60">
        <f t="shared" si="17"/>
        <v>0</v>
      </c>
      <c r="L109" s="20">
        <v>0</v>
      </c>
      <c r="M109" s="60">
        <f t="shared" si="18"/>
        <v>0</v>
      </c>
      <c r="N109" s="19">
        <f>G109/3</f>
        <v>28</v>
      </c>
      <c r="O109" s="60">
        <f t="shared" si="19"/>
        <v>582400</v>
      </c>
      <c r="P109" s="19">
        <v>14</v>
      </c>
      <c r="Q109" s="60">
        <f t="shared" si="20"/>
        <v>291200</v>
      </c>
      <c r="R109" s="18">
        <f t="shared" ref="R109:S132" si="31">P109+N109+L109+J109</f>
        <v>42</v>
      </c>
      <c r="S109" s="18">
        <f t="shared" si="31"/>
        <v>873600</v>
      </c>
      <c r="U109" s="336">
        <f t="shared" si="26"/>
        <v>0</v>
      </c>
      <c r="V109" s="336">
        <f t="shared" si="27"/>
        <v>0</v>
      </c>
      <c r="W109" s="336">
        <f t="shared" si="28"/>
        <v>0.33333333333333331</v>
      </c>
      <c r="X109" s="336">
        <f t="shared" si="29"/>
        <v>0.16666666666666666</v>
      </c>
      <c r="Y109" s="338">
        <f t="shared" si="30"/>
        <v>0.5</v>
      </c>
    </row>
    <row r="110" spans="1:25" ht="16.5" customHeight="1" thickTop="1" thickBot="1" x14ac:dyDescent="0.3">
      <c r="A110" s="279"/>
      <c r="B110" s="551"/>
      <c r="C110" s="629"/>
      <c r="D110" s="638"/>
      <c r="E110" s="56" t="s">
        <v>431</v>
      </c>
      <c r="F110" s="32" t="s">
        <v>432</v>
      </c>
      <c r="G110" s="15">
        <v>84</v>
      </c>
      <c r="H110" s="59">
        <f>'TABLA GENERAL'!D127</f>
        <v>0</v>
      </c>
      <c r="I110" s="115">
        <f t="shared" ref="I110:I130" si="32">G110*H110</f>
        <v>0</v>
      </c>
      <c r="J110" s="20">
        <v>0</v>
      </c>
      <c r="K110" s="60">
        <f t="shared" ref="K110:K131" si="33">J110*H110</f>
        <v>0</v>
      </c>
      <c r="L110" s="20">
        <v>0</v>
      </c>
      <c r="M110" s="60">
        <f t="shared" ref="M110:M131" si="34">L110*H110</f>
        <v>0</v>
      </c>
      <c r="N110" s="19">
        <f>G110/3</f>
        <v>28</v>
      </c>
      <c r="O110" s="60">
        <f t="shared" ref="O110:O131" si="35">N110*H110</f>
        <v>0</v>
      </c>
      <c r="P110" s="19">
        <v>14</v>
      </c>
      <c r="Q110" s="60">
        <f t="shared" ref="Q110:Q131" si="36">P110*H110</f>
        <v>0</v>
      </c>
      <c r="R110" s="18">
        <f t="shared" si="31"/>
        <v>42</v>
      </c>
      <c r="S110" s="18">
        <f t="shared" si="31"/>
        <v>0</v>
      </c>
      <c r="U110" s="336">
        <f t="shared" si="26"/>
        <v>0</v>
      </c>
      <c r="V110" s="336">
        <f t="shared" si="27"/>
        <v>0</v>
      </c>
      <c r="W110" s="336">
        <f t="shared" si="28"/>
        <v>0.33333333333333331</v>
      </c>
      <c r="X110" s="336">
        <f t="shared" si="29"/>
        <v>0.16666666666666666</v>
      </c>
      <c r="Y110" s="338">
        <f t="shared" si="30"/>
        <v>0.5</v>
      </c>
    </row>
    <row r="111" spans="1:25" ht="16.5" customHeight="1" thickTop="1" thickBot="1" x14ac:dyDescent="0.3">
      <c r="A111" s="279"/>
      <c r="B111" s="551"/>
      <c r="C111" s="629"/>
      <c r="D111" s="638"/>
      <c r="E111" s="56" t="s">
        <v>433</v>
      </c>
      <c r="F111" s="32" t="s">
        <v>434</v>
      </c>
      <c r="G111" s="15">
        <v>88</v>
      </c>
      <c r="H111" s="59">
        <f>'TABLA GENERAL'!D128</f>
        <v>0</v>
      </c>
      <c r="I111" s="115">
        <f t="shared" si="32"/>
        <v>0</v>
      </c>
      <c r="J111" s="20">
        <v>0</v>
      </c>
      <c r="K111" s="60">
        <f t="shared" si="33"/>
        <v>0</v>
      </c>
      <c r="L111" s="20">
        <v>0</v>
      </c>
      <c r="M111" s="60">
        <f t="shared" si="34"/>
        <v>0</v>
      </c>
      <c r="N111" s="19">
        <v>29</v>
      </c>
      <c r="O111" s="60">
        <f t="shared" si="35"/>
        <v>0</v>
      </c>
      <c r="P111" s="19">
        <v>28</v>
      </c>
      <c r="Q111" s="60">
        <f t="shared" si="36"/>
        <v>0</v>
      </c>
      <c r="R111" s="18">
        <f t="shared" si="31"/>
        <v>57</v>
      </c>
      <c r="S111" s="18">
        <f t="shared" si="31"/>
        <v>0</v>
      </c>
      <c r="U111" s="336">
        <f t="shared" si="26"/>
        <v>0</v>
      </c>
      <c r="V111" s="336">
        <f t="shared" si="27"/>
        <v>0</v>
      </c>
      <c r="W111" s="336">
        <f t="shared" si="28"/>
        <v>0.32954545454545453</v>
      </c>
      <c r="X111" s="336">
        <f t="shared" si="29"/>
        <v>0.31818181818181818</v>
      </c>
      <c r="Y111" s="338">
        <f t="shared" si="30"/>
        <v>0.64772727272727271</v>
      </c>
    </row>
    <row r="112" spans="1:25" ht="16.5" customHeight="1" thickTop="1" thickBot="1" x14ac:dyDescent="0.3">
      <c r="A112" s="279"/>
      <c r="B112" s="551"/>
      <c r="C112" s="629"/>
      <c r="D112" s="638"/>
      <c r="E112" s="56" t="s">
        <v>435</v>
      </c>
      <c r="F112" s="32" t="s">
        <v>436</v>
      </c>
      <c r="G112" s="15">
        <v>91</v>
      </c>
      <c r="H112" s="59">
        <f>'TABLA GENERAL'!D129</f>
        <v>30</v>
      </c>
      <c r="I112" s="115">
        <f t="shared" si="32"/>
        <v>2730</v>
      </c>
      <c r="J112" s="20">
        <v>0</v>
      </c>
      <c r="K112" s="60">
        <f t="shared" si="33"/>
        <v>0</v>
      </c>
      <c r="L112" s="20">
        <v>0</v>
      </c>
      <c r="M112" s="60">
        <f t="shared" si="34"/>
        <v>0</v>
      </c>
      <c r="N112" s="19">
        <v>0</v>
      </c>
      <c r="O112" s="60">
        <f t="shared" si="35"/>
        <v>0</v>
      </c>
      <c r="P112" s="19">
        <v>28</v>
      </c>
      <c r="Q112" s="60">
        <f t="shared" si="36"/>
        <v>840</v>
      </c>
      <c r="R112" s="18">
        <f t="shared" si="31"/>
        <v>28</v>
      </c>
      <c r="S112" s="18">
        <f t="shared" si="31"/>
        <v>840</v>
      </c>
      <c r="U112" s="336">
        <f t="shared" si="26"/>
        <v>0</v>
      </c>
      <c r="V112" s="336">
        <f t="shared" si="27"/>
        <v>0</v>
      </c>
      <c r="W112" s="336">
        <f t="shared" si="28"/>
        <v>0</v>
      </c>
      <c r="X112" s="336">
        <f t="shared" si="29"/>
        <v>0.30769230769230771</v>
      </c>
      <c r="Y112" s="338">
        <f t="shared" si="30"/>
        <v>0.30769230769230771</v>
      </c>
    </row>
    <row r="113" spans="1:25" ht="16.5" customHeight="1" thickTop="1" thickBot="1" x14ac:dyDescent="0.3">
      <c r="A113" s="279"/>
      <c r="B113" s="551"/>
      <c r="C113" s="629"/>
      <c r="D113" s="638"/>
      <c r="E113" s="56" t="s">
        <v>437</v>
      </c>
      <c r="F113" s="32" t="s">
        <v>438</v>
      </c>
      <c r="G113" s="15">
        <v>98</v>
      </c>
      <c r="H113" s="59">
        <f>'TABLA GENERAL'!D130</f>
        <v>2150</v>
      </c>
      <c r="I113" s="115">
        <f t="shared" si="32"/>
        <v>210700</v>
      </c>
      <c r="J113" s="20">
        <v>0</v>
      </c>
      <c r="K113" s="60">
        <f t="shared" si="33"/>
        <v>0</v>
      </c>
      <c r="L113" s="20">
        <v>0</v>
      </c>
      <c r="M113" s="60">
        <f t="shared" si="34"/>
        <v>0</v>
      </c>
      <c r="N113" s="19">
        <v>28</v>
      </c>
      <c r="O113" s="60">
        <f t="shared" si="35"/>
        <v>60200</v>
      </c>
      <c r="P113" s="19">
        <v>28</v>
      </c>
      <c r="Q113" s="60">
        <f t="shared" si="36"/>
        <v>60200</v>
      </c>
      <c r="R113" s="18">
        <f t="shared" si="31"/>
        <v>56</v>
      </c>
      <c r="S113" s="18">
        <f t="shared" si="31"/>
        <v>120400</v>
      </c>
      <c r="U113" s="336">
        <f t="shared" si="26"/>
        <v>0</v>
      </c>
      <c r="V113" s="336">
        <f t="shared" si="27"/>
        <v>0</v>
      </c>
      <c r="W113" s="336">
        <f t="shared" si="28"/>
        <v>0.2857142857142857</v>
      </c>
      <c r="X113" s="336">
        <f t="shared" si="29"/>
        <v>0.2857142857142857</v>
      </c>
      <c r="Y113" s="338">
        <f t="shared" si="30"/>
        <v>0.5714285714285714</v>
      </c>
    </row>
    <row r="114" spans="1:25" ht="16.5" customHeight="1" thickTop="1" thickBot="1" x14ac:dyDescent="0.3">
      <c r="A114" s="279"/>
      <c r="B114" s="551"/>
      <c r="C114" s="629"/>
      <c r="D114" s="638"/>
      <c r="E114" s="56" t="s">
        <v>439</v>
      </c>
      <c r="F114" s="32" t="s">
        <v>440</v>
      </c>
      <c r="G114" s="15">
        <v>96</v>
      </c>
      <c r="H114" s="59">
        <f>'TABLA GENERAL'!D131</f>
        <v>70.209999999999994</v>
      </c>
      <c r="I114" s="115">
        <f t="shared" si="32"/>
        <v>6740.16</v>
      </c>
      <c r="J114" s="20">
        <v>0</v>
      </c>
      <c r="K114" s="60">
        <f t="shared" si="33"/>
        <v>0</v>
      </c>
      <c r="L114" s="20">
        <v>0</v>
      </c>
      <c r="M114" s="60">
        <f t="shared" si="34"/>
        <v>0</v>
      </c>
      <c r="N114" s="19">
        <v>0</v>
      </c>
      <c r="O114" s="60">
        <f t="shared" si="35"/>
        <v>0</v>
      </c>
      <c r="P114" s="19">
        <v>28</v>
      </c>
      <c r="Q114" s="60">
        <f t="shared" si="36"/>
        <v>1965.8799999999999</v>
      </c>
      <c r="R114" s="18">
        <f t="shared" si="31"/>
        <v>28</v>
      </c>
      <c r="S114" s="18">
        <f t="shared" si="31"/>
        <v>1965.8799999999999</v>
      </c>
      <c r="U114" s="336">
        <f t="shared" si="26"/>
        <v>0</v>
      </c>
      <c r="V114" s="336">
        <f t="shared" si="27"/>
        <v>0</v>
      </c>
      <c r="W114" s="336">
        <f t="shared" si="28"/>
        <v>0</v>
      </c>
      <c r="X114" s="336">
        <f t="shared" si="29"/>
        <v>0.29166666666666669</v>
      </c>
      <c r="Y114" s="338">
        <f t="shared" si="30"/>
        <v>0.29166666666666669</v>
      </c>
    </row>
    <row r="115" spans="1:25" ht="16.5" customHeight="1" thickTop="1" thickBot="1" x14ac:dyDescent="0.3">
      <c r="A115" s="279"/>
      <c r="B115" s="551"/>
      <c r="C115" s="629"/>
      <c r="D115" s="638"/>
      <c r="E115" s="56" t="s">
        <v>441</v>
      </c>
      <c r="F115" s="32" t="s">
        <v>442</v>
      </c>
      <c r="G115" s="15">
        <v>84</v>
      </c>
      <c r="H115" s="59">
        <f>'TABLA GENERAL'!D132</f>
        <v>3700</v>
      </c>
      <c r="I115" s="115">
        <f t="shared" si="32"/>
        <v>310800</v>
      </c>
      <c r="J115" s="20">
        <v>0</v>
      </c>
      <c r="K115" s="60">
        <f t="shared" si="33"/>
        <v>0</v>
      </c>
      <c r="L115" s="20">
        <v>0</v>
      </c>
      <c r="M115" s="60">
        <f t="shared" si="34"/>
        <v>0</v>
      </c>
      <c r="N115" s="19">
        <v>0</v>
      </c>
      <c r="O115" s="60">
        <f t="shared" si="35"/>
        <v>0</v>
      </c>
      <c r="P115" s="19">
        <v>28</v>
      </c>
      <c r="Q115" s="60">
        <f t="shared" si="36"/>
        <v>103600</v>
      </c>
      <c r="R115" s="18">
        <f t="shared" si="31"/>
        <v>28</v>
      </c>
      <c r="S115" s="18">
        <f t="shared" si="31"/>
        <v>103600</v>
      </c>
      <c r="U115" s="336">
        <f t="shared" si="26"/>
        <v>0</v>
      </c>
      <c r="V115" s="336">
        <f t="shared" si="27"/>
        <v>0</v>
      </c>
      <c r="W115" s="336">
        <f t="shared" si="28"/>
        <v>0</v>
      </c>
      <c r="X115" s="336">
        <f t="shared" si="29"/>
        <v>0.33333333333333331</v>
      </c>
      <c r="Y115" s="338">
        <f t="shared" si="30"/>
        <v>0.33333333333333331</v>
      </c>
    </row>
    <row r="116" spans="1:25" ht="16.5" customHeight="1" thickTop="1" thickBot="1" x14ac:dyDescent="0.3">
      <c r="A116" s="279"/>
      <c r="B116" s="551"/>
      <c r="C116" s="629"/>
      <c r="D116" s="638"/>
      <c r="E116" s="56" t="s">
        <v>443</v>
      </c>
      <c r="F116" s="32" t="s">
        <v>444</v>
      </c>
      <c r="G116" s="15">
        <v>126</v>
      </c>
      <c r="H116" s="59">
        <f>'TABLA GENERAL'!D133</f>
        <v>568</v>
      </c>
      <c r="I116" s="115">
        <f t="shared" si="32"/>
        <v>71568</v>
      </c>
      <c r="J116" s="20">
        <v>0</v>
      </c>
      <c r="K116" s="60">
        <f t="shared" si="33"/>
        <v>0</v>
      </c>
      <c r="L116" s="20">
        <v>0</v>
      </c>
      <c r="M116" s="60">
        <f t="shared" si="34"/>
        <v>0</v>
      </c>
      <c r="N116" s="19">
        <v>0</v>
      </c>
      <c r="O116" s="60">
        <f t="shared" si="35"/>
        <v>0</v>
      </c>
      <c r="P116" s="19">
        <v>28</v>
      </c>
      <c r="Q116" s="60">
        <f t="shared" si="36"/>
        <v>15904</v>
      </c>
      <c r="R116" s="18">
        <f t="shared" si="31"/>
        <v>28</v>
      </c>
      <c r="S116" s="18">
        <f t="shared" si="31"/>
        <v>15904</v>
      </c>
      <c r="U116" s="336">
        <f t="shared" si="26"/>
        <v>0</v>
      </c>
      <c r="V116" s="336">
        <f t="shared" si="27"/>
        <v>0</v>
      </c>
      <c r="W116" s="336">
        <f t="shared" si="28"/>
        <v>0</v>
      </c>
      <c r="X116" s="336">
        <f t="shared" si="29"/>
        <v>0.22222222222222221</v>
      </c>
      <c r="Y116" s="338">
        <f t="shared" si="30"/>
        <v>0.22222222222222221</v>
      </c>
    </row>
    <row r="117" spans="1:25" ht="16.5" customHeight="1" thickTop="1" thickBot="1" x14ac:dyDescent="0.3">
      <c r="A117" s="279"/>
      <c r="B117" s="551"/>
      <c r="C117" s="629"/>
      <c r="D117" s="638"/>
      <c r="E117" s="56" t="s">
        <v>445</v>
      </c>
      <c r="F117" s="32" t="s">
        <v>446</v>
      </c>
      <c r="G117" s="15">
        <v>9</v>
      </c>
      <c r="H117" s="59">
        <f>'TABLA GENERAL'!D135</f>
        <v>200</v>
      </c>
      <c r="I117" s="115">
        <f t="shared" si="32"/>
        <v>1800</v>
      </c>
      <c r="J117" s="20">
        <v>0</v>
      </c>
      <c r="K117" s="60">
        <f t="shared" si="33"/>
        <v>0</v>
      </c>
      <c r="L117" s="20">
        <v>0</v>
      </c>
      <c r="M117" s="60">
        <f t="shared" si="34"/>
        <v>0</v>
      </c>
      <c r="N117" s="19">
        <v>0</v>
      </c>
      <c r="O117" s="60">
        <f t="shared" si="35"/>
        <v>0</v>
      </c>
      <c r="P117" s="19">
        <v>8</v>
      </c>
      <c r="Q117" s="60">
        <f t="shared" si="36"/>
        <v>1600</v>
      </c>
      <c r="R117" s="18">
        <f t="shared" si="31"/>
        <v>8</v>
      </c>
      <c r="S117" s="18">
        <f t="shared" si="31"/>
        <v>1600</v>
      </c>
      <c r="U117" s="336">
        <f t="shared" si="26"/>
        <v>0</v>
      </c>
      <c r="V117" s="336">
        <f t="shared" si="27"/>
        <v>0</v>
      </c>
      <c r="W117" s="336">
        <f t="shared" si="28"/>
        <v>0</v>
      </c>
      <c r="X117" s="336">
        <f t="shared" si="29"/>
        <v>0.88888888888888884</v>
      </c>
      <c r="Y117" s="338">
        <f t="shared" si="30"/>
        <v>0.88888888888888884</v>
      </c>
    </row>
    <row r="118" spans="1:25" ht="16.5" customHeight="1" thickTop="1" thickBot="1" x14ac:dyDescent="0.3">
      <c r="A118" s="279"/>
      <c r="B118" s="551"/>
      <c r="C118" s="629"/>
      <c r="D118" s="638"/>
      <c r="E118" s="56" t="s">
        <v>447</v>
      </c>
      <c r="F118" s="32" t="s">
        <v>448</v>
      </c>
      <c r="G118" s="15">
        <v>9</v>
      </c>
      <c r="H118" s="59">
        <f>'TABLA GENERAL'!D136</f>
        <v>485</v>
      </c>
      <c r="I118" s="115">
        <f t="shared" si="32"/>
        <v>4365</v>
      </c>
      <c r="J118" s="20">
        <v>0</v>
      </c>
      <c r="K118" s="60">
        <f t="shared" si="33"/>
        <v>0</v>
      </c>
      <c r="L118" s="20">
        <v>1</v>
      </c>
      <c r="M118" s="60">
        <f t="shared" si="34"/>
        <v>485</v>
      </c>
      <c r="N118" s="19">
        <f t="shared" ref="N118" si="37">G118/3</f>
        <v>3</v>
      </c>
      <c r="O118" s="60">
        <f t="shared" si="35"/>
        <v>1455</v>
      </c>
      <c r="P118" s="19">
        <v>2</v>
      </c>
      <c r="Q118" s="60">
        <f t="shared" si="36"/>
        <v>970</v>
      </c>
      <c r="R118" s="18">
        <f t="shared" si="31"/>
        <v>6</v>
      </c>
      <c r="S118" s="18">
        <f t="shared" si="31"/>
        <v>2910</v>
      </c>
      <c r="U118" s="336">
        <f t="shared" si="26"/>
        <v>0</v>
      </c>
      <c r="V118" s="336">
        <f t="shared" si="27"/>
        <v>0.1111111111111111</v>
      </c>
      <c r="W118" s="336">
        <f t="shared" si="28"/>
        <v>0.33333333333333331</v>
      </c>
      <c r="X118" s="336">
        <f t="shared" si="29"/>
        <v>0.22222222222222221</v>
      </c>
      <c r="Y118" s="338">
        <f t="shared" si="30"/>
        <v>0.66666666666666663</v>
      </c>
    </row>
    <row r="119" spans="1:25" ht="16.5" customHeight="1" thickTop="1" thickBot="1" x14ac:dyDescent="0.3">
      <c r="A119" s="279"/>
      <c r="B119" s="551"/>
      <c r="C119" s="629"/>
      <c r="D119" s="638"/>
      <c r="E119" s="56" t="s">
        <v>69</v>
      </c>
      <c r="F119" s="32" t="s">
        <v>68</v>
      </c>
      <c r="G119" s="15">
        <v>83</v>
      </c>
      <c r="H119" s="59">
        <f>'TABLA GENERAL'!D137</f>
        <v>3800</v>
      </c>
      <c r="I119" s="115">
        <f t="shared" si="32"/>
        <v>315400</v>
      </c>
      <c r="J119" s="20">
        <v>0</v>
      </c>
      <c r="K119" s="60">
        <f t="shared" si="33"/>
        <v>0</v>
      </c>
      <c r="L119" s="20">
        <v>14</v>
      </c>
      <c r="M119" s="60">
        <f t="shared" si="34"/>
        <v>53200</v>
      </c>
      <c r="N119" s="19">
        <v>28</v>
      </c>
      <c r="O119" s="60">
        <f t="shared" si="35"/>
        <v>106400</v>
      </c>
      <c r="P119" s="19">
        <v>14</v>
      </c>
      <c r="Q119" s="60">
        <f t="shared" si="36"/>
        <v>53200</v>
      </c>
      <c r="R119" s="18">
        <f t="shared" si="31"/>
        <v>56</v>
      </c>
      <c r="S119" s="18">
        <f t="shared" si="31"/>
        <v>212800</v>
      </c>
      <c r="U119" s="336">
        <f t="shared" si="26"/>
        <v>0</v>
      </c>
      <c r="V119" s="336">
        <f t="shared" si="27"/>
        <v>0.16867469879518071</v>
      </c>
      <c r="W119" s="336">
        <f t="shared" si="28"/>
        <v>0.33734939759036142</v>
      </c>
      <c r="X119" s="336">
        <f t="shared" si="29"/>
        <v>0.16867469879518071</v>
      </c>
      <c r="Y119" s="338">
        <f t="shared" si="30"/>
        <v>0.67469879518072284</v>
      </c>
    </row>
    <row r="120" spans="1:25" ht="16.5" customHeight="1" thickTop="1" thickBot="1" x14ac:dyDescent="0.3">
      <c r="A120" s="279"/>
      <c r="B120" s="551"/>
      <c r="C120" s="629"/>
      <c r="D120" s="638"/>
      <c r="E120" s="56" t="s">
        <v>449</v>
      </c>
      <c r="F120" s="32" t="s">
        <v>450</v>
      </c>
      <c r="G120" s="15">
        <v>7</v>
      </c>
      <c r="H120" s="59">
        <f>'TABLA GENERAL'!D138</f>
        <v>1246</v>
      </c>
      <c r="I120" s="115">
        <f t="shared" si="32"/>
        <v>8722</v>
      </c>
      <c r="J120" s="20">
        <v>0</v>
      </c>
      <c r="K120" s="60">
        <f t="shared" si="33"/>
        <v>0</v>
      </c>
      <c r="L120" s="20">
        <v>1</v>
      </c>
      <c r="M120" s="60">
        <f t="shared" si="34"/>
        <v>1246</v>
      </c>
      <c r="N120" s="19">
        <v>1</v>
      </c>
      <c r="O120" s="60">
        <f t="shared" si="35"/>
        <v>1246</v>
      </c>
      <c r="P120" s="19">
        <v>3</v>
      </c>
      <c r="Q120" s="60">
        <f t="shared" si="36"/>
        <v>3738</v>
      </c>
      <c r="R120" s="18">
        <f t="shared" si="31"/>
        <v>5</v>
      </c>
      <c r="S120" s="18">
        <f t="shared" si="31"/>
        <v>6230</v>
      </c>
      <c r="U120" s="336">
        <f t="shared" si="26"/>
        <v>0</v>
      </c>
      <c r="V120" s="336">
        <f t="shared" si="27"/>
        <v>0.14285714285714285</v>
      </c>
      <c r="W120" s="336">
        <f t="shared" si="28"/>
        <v>0.14285714285714285</v>
      </c>
      <c r="X120" s="336">
        <f t="shared" si="29"/>
        <v>0.42857142857142855</v>
      </c>
      <c r="Y120" s="338">
        <f t="shared" si="30"/>
        <v>0.7142857142857143</v>
      </c>
    </row>
    <row r="121" spans="1:25" ht="16.5" customHeight="1" thickTop="1" thickBot="1" x14ac:dyDescent="0.3">
      <c r="A121" s="279"/>
      <c r="B121" s="551"/>
      <c r="C121" s="629"/>
      <c r="D121" s="638"/>
      <c r="E121" s="56" t="s">
        <v>451</v>
      </c>
      <c r="F121" s="32" t="s">
        <v>452</v>
      </c>
      <c r="G121" s="15">
        <v>126</v>
      </c>
      <c r="H121" s="59">
        <f>'TABLA GENERAL'!D139</f>
        <v>65</v>
      </c>
      <c r="I121" s="115">
        <f t="shared" si="32"/>
        <v>8190</v>
      </c>
      <c r="J121" s="20">
        <v>0</v>
      </c>
      <c r="K121" s="60">
        <f t="shared" si="33"/>
        <v>0</v>
      </c>
      <c r="L121" s="20">
        <v>0</v>
      </c>
      <c r="M121" s="60">
        <f t="shared" si="34"/>
        <v>0</v>
      </c>
      <c r="N121" s="19">
        <v>0</v>
      </c>
      <c r="O121" s="60">
        <f t="shared" si="35"/>
        <v>0</v>
      </c>
      <c r="P121" s="19">
        <v>28</v>
      </c>
      <c r="Q121" s="60">
        <f t="shared" si="36"/>
        <v>1820</v>
      </c>
      <c r="R121" s="18">
        <f t="shared" si="31"/>
        <v>28</v>
      </c>
      <c r="S121" s="18">
        <f t="shared" si="31"/>
        <v>1820</v>
      </c>
      <c r="U121" s="336">
        <f t="shared" si="26"/>
        <v>0</v>
      </c>
      <c r="V121" s="336">
        <f t="shared" si="27"/>
        <v>0</v>
      </c>
      <c r="W121" s="336">
        <f t="shared" si="28"/>
        <v>0</v>
      </c>
      <c r="X121" s="336">
        <f t="shared" si="29"/>
        <v>0.22222222222222221</v>
      </c>
      <c r="Y121" s="338">
        <f t="shared" si="30"/>
        <v>0.22222222222222221</v>
      </c>
    </row>
    <row r="122" spans="1:25" ht="16.5" customHeight="1" thickTop="1" thickBot="1" x14ac:dyDescent="0.3">
      <c r="A122" s="279"/>
      <c r="B122" s="551"/>
      <c r="C122" s="629"/>
      <c r="D122" s="550" t="s">
        <v>453</v>
      </c>
      <c r="E122" s="56" t="s">
        <v>454</v>
      </c>
      <c r="F122" s="32" t="s">
        <v>455</v>
      </c>
      <c r="G122" s="15">
        <v>9</v>
      </c>
      <c r="H122" s="59">
        <f>'TABLA GENERAL'!D140</f>
        <v>46</v>
      </c>
      <c r="I122" s="115">
        <f t="shared" si="32"/>
        <v>414</v>
      </c>
      <c r="J122" s="20">
        <v>0</v>
      </c>
      <c r="K122" s="60">
        <f t="shared" si="33"/>
        <v>0</v>
      </c>
      <c r="L122" s="20">
        <v>0</v>
      </c>
      <c r="M122" s="60">
        <f t="shared" si="34"/>
        <v>0</v>
      </c>
      <c r="N122" s="19">
        <v>0</v>
      </c>
      <c r="O122" s="60">
        <f t="shared" si="35"/>
        <v>0</v>
      </c>
      <c r="P122" s="19">
        <v>4</v>
      </c>
      <c r="Q122" s="60">
        <f t="shared" si="36"/>
        <v>184</v>
      </c>
      <c r="R122" s="18">
        <f t="shared" si="31"/>
        <v>4</v>
      </c>
      <c r="S122" s="18">
        <f t="shared" si="31"/>
        <v>184</v>
      </c>
      <c r="U122" s="336">
        <f t="shared" si="26"/>
        <v>0</v>
      </c>
      <c r="V122" s="336">
        <f t="shared" si="27"/>
        <v>0</v>
      </c>
      <c r="W122" s="336">
        <f t="shared" si="28"/>
        <v>0</v>
      </c>
      <c r="X122" s="336">
        <f t="shared" si="29"/>
        <v>0.44444444444444442</v>
      </c>
      <c r="Y122" s="338">
        <f t="shared" si="30"/>
        <v>0.44444444444444442</v>
      </c>
    </row>
    <row r="123" spans="1:25" ht="16.5" customHeight="1" thickTop="1" thickBot="1" x14ac:dyDescent="0.3">
      <c r="A123" s="279"/>
      <c r="B123" s="551"/>
      <c r="C123" s="629"/>
      <c r="D123" s="551"/>
      <c r="E123" s="56" t="s">
        <v>456</v>
      </c>
      <c r="F123" s="32" t="s">
        <v>457</v>
      </c>
      <c r="G123" s="15">
        <v>68</v>
      </c>
      <c r="H123" s="59">
        <f>'TABLA GENERAL'!D141</f>
        <v>8469.75</v>
      </c>
      <c r="I123" s="115">
        <f t="shared" si="32"/>
        <v>575943</v>
      </c>
      <c r="J123" s="20">
        <v>0</v>
      </c>
      <c r="K123" s="60">
        <f t="shared" si="33"/>
        <v>0</v>
      </c>
      <c r="L123" s="20">
        <v>0</v>
      </c>
      <c r="M123" s="60">
        <f t="shared" si="34"/>
        <v>0</v>
      </c>
      <c r="N123" s="19">
        <v>23</v>
      </c>
      <c r="O123" s="60">
        <f t="shared" si="35"/>
        <v>194804.25</v>
      </c>
      <c r="P123" s="19">
        <v>14</v>
      </c>
      <c r="Q123" s="60">
        <f t="shared" si="36"/>
        <v>118576.5</v>
      </c>
      <c r="R123" s="18">
        <f t="shared" si="31"/>
        <v>37</v>
      </c>
      <c r="S123" s="18">
        <f t="shared" si="31"/>
        <v>313380.75</v>
      </c>
      <c r="U123" s="336">
        <f t="shared" si="26"/>
        <v>0</v>
      </c>
      <c r="V123" s="336">
        <f t="shared" si="27"/>
        <v>0</v>
      </c>
      <c r="W123" s="336">
        <f t="shared" si="28"/>
        <v>0.33823529411764708</v>
      </c>
      <c r="X123" s="336">
        <f t="shared" si="29"/>
        <v>0.20588235294117646</v>
      </c>
      <c r="Y123" s="338">
        <f t="shared" si="30"/>
        <v>0.54411764705882348</v>
      </c>
    </row>
    <row r="124" spans="1:25" ht="16.5" customHeight="1" thickTop="1" thickBot="1" x14ac:dyDescent="0.3">
      <c r="A124" s="279"/>
      <c r="B124" s="551"/>
      <c r="C124" s="629"/>
      <c r="D124" s="551"/>
      <c r="E124" s="56" t="s">
        <v>458</v>
      </c>
      <c r="F124" s="32" t="s">
        <v>459</v>
      </c>
      <c r="G124" s="15">
        <v>5</v>
      </c>
      <c r="H124" s="59">
        <f>'TABLA GENERAL'!D142</f>
        <v>2770</v>
      </c>
      <c r="I124" s="115">
        <f t="shared" si="32"/>
        <v>13850</v>
      </c>
      <c r="J124" s="20">
        <v>0</v>
      </c>
      <c r="K124" s="60">
        <f t="shared" si="33"/>
        <v>0</v>
      </c>
      <c r="L124" s="20">
        <v>0</v>
      </c>
      <c r="M124" s="60">
        <f t="shared" si="34"/>
        <v>0</v>
      </c>
      <c r="N124" s="19">
        <v>2</v>
      </c>
      <c r="O124" s="60">
        <f t="shared" si="35"/>
        <v>5540</v>
      </c>
      <c r="P124" s="19">
        <v>3</v>
      </c>
      <c r="Q124" s="60">
        <f t="shared" si="36"/>
        <v>8310</v>
      </c>
      <c r="R124" s="18">
        <f t="shared" si="31"/>
        <v>5</v>
      </c>
      <c r="S124" s="18">
        <f t="shared" si="31"/>
        <v>13850</v>
      </c>
      <c r="U124" s="336">
        <f t="shared" si="26"/>
        <v>0</v>
      </c>
      <c r="V124" s="336">
        <f t="shared" si="27"/>
        <v>0</v>
      </c>
      <c r="W124" s="336">
        <f t="shared" si="28"/>
        <v>0.4</v>
      </c>
      <c r="X124" s="336">
        <f t="shared" si="29"/>
        <v>0.6</v>
      </c>
      <c r="Y124" s="338">
        <f t="shared" si="30"/>
        <v>1</v>
      </c>
    </row>
    <row r="125" spans="1:25" ht="16.5" customHeight="1" thickTop="1" thickBot="1" x14ac:dyDescent="0.3">
      <c r="A125" s="279"/>
      <c r="B125" s="551"/>
      <c r="C125" s="629"/>
      <c r="D125" s="551"/>
      <c r="E125" s="56" t="s">
        <v>460</v>
      </c>
      <c r="F125" s="32" t="s">
        <v>461</v>
      </c>
      <c r="G125" s="15">
        <v>18</v>
      </c>
      <c r="H125" s="59">
        <f>'TABLA GENERAL'!D143</f>
        <v>295</v>
      </c>
      <c r="I125" s="115">
        <f t="shared" si="32"/>
        <v>5310</v>
      </c>
      <c r="J125" s="20">
        <v>0</v>
      </c>
      <c r="K125" s="60">
        <f t="shared" si="33"/>
        <v>0</v>
      </c>
      <c r="L125" s="20">
        <v>0</v>
      </c>
      <c r="M125" s="60">
        <f t="shared" si="34"/>
        <v>0</v>
      </c>
      <c r="N125" s="19">
        <v>0</v>
      </c>
      <c r="O125" s="60">
        <f t="shared" si="35"/>
        <v>0</v>
      </c>
      <c r="P125" s="19">
        <v>8</v>
      </c>
      <c r="Q125" s="60">
        <f t="shared" si="36"/>
        <v>2360</v>
      </c>
      <c r="R125" s="18">
        <f t="shared" si="31"/>
        <v>8</v>
      </c>
      <c r="S125" s="18">
        <f t="shared" si="31"/>
        <v>2360</v>
      </c>
      <c r="U125" s="336">
        <f t="shared" si="26"/>
        <v>0</v>
      </c>
      <c r="V125" s="336">
        <f t="shared" si="27"/>
        <v>0</v>
      </c>
      <c r="W125" s="336">
        <f t="shared" si="28"/>
        <v>0</v>
      </c>
      <c r="X125" s="336">
        <f t="shared" si="29"/>
        <v>0.44444444444444442</v>
      </c>
      <c r="Y125" s="338">
        <f t="shared" si="30"/>
        <v>0.44444444444444442</v>
      </c>
    </row>
    <row r="126" spans="1:25" ht="16.5" customHeight="1" thickTop="1" thickBot="1" x14ac:dyDescent="0.3">
      <c r="A126" s="279"/>
      <c r="B126" s="551"/>
      <c r="C126" s="629"/>
      <c r="D126" s="551"/>
      <c r="E126" s="56" t="s">
        <v>462</v>
      </c>
      <c r="F126" s="32" t="s">
        <v>463</v>
      </c>
      <c r="G126" s="15">
        <v>10</v>
      </c>
      <c r="H126" s="59">
        <f>'TABLA GENERAL'!D144</f>
        <v>3800</v>
      </c>
      <c r="I126" s="115">
        <f t="shared" si="32"/>
        <v>38000</v>
      </c>
      <c r="J126" s="20">
        <v>0</v>
      </c>
      <c r="K126" s="60">
        <f t="shared" si="33"/>
        <v>0</v>
      </c>
      <c r="L126" s="20">
        <v>0</v>
      </c>
      <c r="M126" s="60">
        <f t="shared" si="34"/>
        <v>0</v>
      </c>
      <c r="N126" s="19">
        <v>2</v>
      </c>
      <c r="O126" s="60">
        <f t="shared" si="35"/>
        <v>7600</v>
      </c>
      <c r="P126" s="19">
        <v>4</v>
      </c>
      <c r="Q126" s="60">
        <f t="shared" si="36"/>
        <v>15200</v>
      </c>
      <c r="R126" s="18">
        <f t="shared" si="31"/>
        <v>6</v>
      </c>
      <c r="S126" s="18">
        <f t="shared" si="31"/>
        <v>22800</v>
      </c>
      <c r="U126" s="336">
        <f t="shared" si="26"/>
        <v>0</v>
      </c>
      <c r="V126" s="336">
        <f t="shared" si="27"/>
        <v>0</v>
      </c>
      <c r="W126" s="336">
        <f t="shared" si="28"/>
        <v>0.2</v>
      </c>
      <c r="X126" s="336">
        <f t="shared" si="29"/>
        <v>0.4</v>
      </c>
      <c r="Y126" s="338">
        <f t="shared" si="30"/>
        <v>0.6</v>
      </c>
    </row>
    <row r="127" spans="1:25" ht="16.5" customHeight="1" thickTop="1" thickBot="1" x14ac:dyDescent="0.3">
      <c r="A127" s="279"/>
      <c r="B127" s="551"/>
      <c r="C127" s="629"/>
      <c r="D127" s="551"/>
      <c r="E127" s="56" t="s">
        <v>464</v>
      </c>
      <c r="F127" s="32" t="s">
        <v>465</v>
      </c>
      <c r="G127" s="15">
        <v>13</v>
      </c>
      <c r="H127" s="59">
        <f>'TABLA GENERAL'!D145</f>
        <v>1100</v>
      </c>
      <c r="I127" s="115">
        <f t="shared" si="32"/>
        <v>14300</v>
      </c>
      <c r="J127" s="20">
        <v>0</v>
      </c>
      <c r="K127" s="60">
        <f t="shared" si="33"/>
        <v>0</v>
      </c>
      <c r="L127" s="20">
        <v>0</v>
      </c>
      <c r="M127" s="60">
        <f t="shared" si="34"/>
        <v>0</v>
      </c>
      <c r="N127" s="19">
        <v>0</v>
      </c>
      <c r="O127" s="60">
        <f t="shared" si="35"/>
        <v>0</v>
      </c>
      <c r="P127" s="19">
        <v>6</v>
      </c>
      <c r="Q127" s="60">
        <f t="shared" si="36"/>
        <v>6600</v>
      </c>
      <c r="R127" s="18">
        <f t="shared" si="31"/>
        <v>6</v>
      </c>
      <c r="S127" s="18">
        <f t="shared" si="31"/>
        <v>6600</v>
      </c>
      <c r="U127" s="336">
        <f t="shared" si="26"/>
        <v>0</v>
      </c>
      <c r="V127" s="336">
        <f t="shared" si="27"/>
        <v>0</v>
      </c>
      <c r="W127" s="336">
        <f t="shared" si="28"/>
        <v>0</v>
      </c>
      <c r="X127" s="336">
        <f t="shared" si="29"/>
        <v>0.46153846153846156</v>
      </c>
      <c r="Y127" s="338">
        <f t="shared" si="30"/>
        <v>0.46153846153846156</v>
      </c>
    </row>
    <row r="128" spans="1:25" ht="16.5" customHeight="1" thickTop="1" thickBot="1" x14ac:dyDescent="0.3">
      <c r="A128" s="279"/>
      <c r="B128" s="551"/>
      <c r="C128" s="629"/>
      <c r="D128" s="551"/>
      <c r="E128" s="56" t="s">
        <v>466</v>
      </c>
      <c r="F128" s="32" t="s">
        <v>467</v>
      </c>
      <c r="G128" s="15">
        <v>13</v>
      </c>
      <c r="H128" s="59">
        <f>'TABLA GENERAL'!D146</f>
        <v>1600</v>
      </c>
      <c r="I128" s="115">
        <f t="shared" si="32"/>
        <v>20800</v>
      </c>
      <c r="J128" s="20">
        <v>0</v>
      </c>
      <c r="K128" s="60">
        <f t="shared" si="33"/>
        <v>0</v>
      </c>
      <c r="L128" s="20">
        <v>0</v>
      </c>
      <c r="M128" s="60">
        <f t="shared" si="34"/>
        <v>0</v>
      </c>
      <c r="N128" s="19">
        <v>0</v>
      </c>
      <c r="O128" s="60">
        <f t="shared" si="35"/>
        <v>0</v>
      </c>
      <c r="P128" s="19">
        <v>6</v>
      </c>
      <c r="Q128" s="60">
        <f t="shared" si="36"/>
        <v>9600</v>
      </c>
      <c r="R128" s="18">
        <f t="shared" si="31"/>
        <v>6</v>
      </c>
      <c r="S128" s="18">
        <f t="shared" si="31"/>
        <v>9600</v>
      </c>
      <c r="U128" s="336">
        <f t="shared" si="26"/>
        <v>0</v>
      </c>
      <c r="V128" s="336">
        <f t="shared" si="27"/>
        <v>0</v>
      </c>
      <c r="W128" s="336">
        <f t="shared" si="28"/>
        <v>0</v>
      </c>
      <c r="X128" s="336">
        <f t="shared" si="29"/>
        <v>0.46153846153846156</v>
      </c>
      <c r="Y128" s="338">
        <f t="shared" si="30"/>
        <v>0.46153846153846156</v>
      </c>
    </row>
    <row r="129" spans="1:25" ht="24" customHeight="1" thickTop="1" thickBot="1" x14ac:dyDescent="0.3">
      <c r="A129" s="279"/>
      <c r="B129" s="551"/>
      <c r="C129" s="629"/>
      <c r="D129" s="551"/>
      <c r="E129" s="56" t="s">
        <v>468</v>
      </c>
      <c r="F129" s="32" t="s">
        <v>469</v>
      </c>
      <c r="G129" s="15">
        <v>50</v>
      </c>
      <c r="H129" s="59">
        <f>'TABLA GENERAL'!D147</f>
        <v>3</v>
      </c>
      <c r="I129" s="115">
        <f t="shared" si="32"/>
        <v>150</v>
      </c>
      <c r="J129" s="20">
        <v>0</v>
      </c>
      <c r="K129" s="60">
        <f t="shared" si="33"/>
        <v>0</v>
      </c>
      <c r="L129" s="20">
        <v>0</v>
      </c>
      <c r="M129" s="60">
        <f t="shared" si="34"/>
        <v>0</v>
      </c>
      <c r="N129" s="19">
        <v>0</v>
      </c>
      <c r="O129" s="60">
        <f t="shared" si="35"/>
        <v>0</v>
      </c>
      <c r="P129" s="19">
        <v>42</v>
      </c>
      <c r="Q129" s="60">
        <f t="shared" si="36"/>
        <v>126</v>
      </c>
      <c r="R129" s="18">
        <f t="shared" si="31"/>
        <v>42</v>
      </c>
      <c r="S129" s="18">
        <f t="shared" si="31"/>
        <v>126</v>
      </c>
      <c r="U129" s="336">
        <f t="shared" si="26"/>
        <v>0</v>
      </c>
      <c r="V129" s="336">
        <f t="shared" si="27"/>
        <v>0</v>
      </c>
      <c r="W129" s="336">
        <f t="shared" si="28"/>
        <v>0</v>
      </c>
      <c r="X129" s="336">
        <f t="shared" si="29"/>
        <v>0.84</v>
      </c>
      <c r="Y129" s="338">
        <f t="shared" si="30"/>
        <v>0.84</v>
      </c>
    </row>
    <row r="130" spans="1:25" ht="16.5" customHeight="1" thickTop="1" thickBot="1" x14ac:dyDescent="0.3">
      <c r="A130" s="279"/>
      <c r="B130" s="552"/>
      <c r="C130" s="629"/>
      <c r="D130" s="551"/>
      <c r="E130" s="56" t="s">
        <v>470</v>
      </c>
      <c r="F130" s="32" t="s">
        <v>471</v>
      </c>
      <c r="G130" s="15">
        <v>4</v>
      </c>
      <c r="H130" s="59">
        <f>'TABLA GENERAL'!D148</f>
        <v>2450</v>
      </c>
      <c r="I130" s="115">
        <f t="shared" si="32"/>
        <v>9800</v>
      </c>
      <c r="J130" s="20">
        <v>0</v>
      </c>
      <c r="K130" s="60">
        <f t="shared" si="33"/>
        <v>0</v>
      </c>
      <c r="L130" s="20">
        <v>0</v>
      </c>
      <c r="M130" s="60">
        <f t="shared" si="34"/>
        <v>0</v>
      </c>
      <c r="N130" s="19">
        <v>0</v>
      </c>
      <c r="O130" s="60">
        <f t="shared" si="35"/>
        <v>0</v>
      </c>
      <c r="P130" s="19">
        <v>2</v>
      </c>
      <c r="Q130" s="60">
        <f t="shared" si="36"/>
        <v>4900</v>
      </c>
      <c r="R130" s="18">
        <f t="shared" si="31"/>
        <v>2</v>
      </c>
      <c r="S130" s="18">
        <f t="shared" si="31"/>
        <v>4900</v>
      </c>
      <c r="U130" s="336">
        <f t="shared" si="26"/>
        <v>0</v>
      </c>
      <c r="V130" s="336">
        <f t="shared" si="27"/>
        <v>0</v>
      </c>
      <c r="W130" s="336">
        <f t="shared" si="28"/>
        <v>0</v>
      </c>
      <c r="X130" s="336">
        <f t="shared" si="29"/>
        <v>0.5</v>
      </c>
      <c r="Y130" s="338">
        <f t="shared" si="30"/>
        <v>0.5</v>
      </c>
    </row>
    <row r="131" spans="1:25" ht="16.5" customHeight="1" thickTop="1" thickBot="1" x14ac:dyDescent="0.3">
      <c r="A131" s="280"/>
      <c r="B131" s="280"/>
      <c r="C131" s="635"/>
      <c r="D131" s="552"/>
      <c r="E131" s="56" t="s">
        <v>65</v>
      </c>
      <c r="F131" s="32" t="s">
        <v>64</v>
      </c>
      <c r="G131" s="15">
        <v>4</v>
      </c>
      <c r="H131" s="59">
        <f>'TABLA GENERAL'!D149</f>
        <v>3250</v>
      </c>
      <c r="I131" s="115">
        <f>G131*H131</f>
        <v>13000</v>
      </c>
      <c r="J131" s="20">
        <v>0</v>
      </c>
      <c r="K131" s="60">
        <f t="shared" si="33"/>
        <v>0</v>
      </c>
      <c r="L131" s="20">
        <v>1</v>
      </c>
      <c r="M131" s="60">
        <f t="shared" si="34"/>
        <v>3250</v>
      </c>
      <c r="N131" s="19">
        <v>0</v>
      </c>
      <c r="O131" s="60">
        <f t="shared" si="35"/>
        <v>0</v>
      </c>
      <c r="P131" s="19">
        <v>1</v>
      </c>
      <c r="Q131" s="60">
        <f t="shared" si="36"/>
        <v>3250</v>
      </c>
      <c r="R131" s="18">
        <f t="shared" si="31"/>
        <v>2</v>
      </c>
      <c r="S131" s="18">
        <f t="shared" si="31"/>
        <v>6500</v>
      </c>
      <c r="U131" s="336">
        <f t="shared" si="26"/>
        <v>0</v>
      </c>
      <c r="V131" s="336">
        <f t="shared" si="27"/>
        <v>0.25</v>
      </c>
      <c r="W131" s="336">
        <f t="shared" si="28"/>
        <v>0</v>
      </c>
      <c r="X131" s="336">
        <f t="shared" si="29"/>
        <v>0.25</v>
      </c>
      <c r="Y131" s="338">
        <f t="shared" si="30"/>
        <v>0.5</v>
      </c>
    </row>
    <row r="132" spans="1:25" ht="17.25" thickBot="1" x14ac:dyDescent="0.3">
      <c r="A132" s="112"/>
      <c r="B132" s="112"/>
      <c r="C132" s="112"/>
      <c r="D132" s="124"/>
      <c r="E132" s="112"/>
      <c r="F132" s="112" t="s">
        <v>472</v>
      </c>
      <c r="G132" s="112"/>
      <c r="H132" s="112"/>
      <c r="I132" s="118">
        <f>SUM(I44:I131)</f>
        <v>8268052.1161538456</v>
      </c>
      <c r="J132" s="112"/>
      <c r="K132" s="119">
        <f>SUM(K44:K131)</f>
        <v>219404</v>
      </c>
      <c r="L132" s="112"/>
      <c r="M132" s="119">
        <f>SUM(M44:M131)</f>
        <v>265661</v>
      </c>
      <c r="N132" s="112"/>
      <c r="O132" s="119">
        <f>SUM(O44:O131)</f>
        <v>1323931.25</v>
      </c>
      <c r="P132" s="112"/>
      <c r="Q132" s="119">
        <f>SUM(Q44:Q131)</f>
        <v>1524793.6015384616</v>
      </c>
      <c r="R132" s="112">
        <f t="shared" si="31"/>
        <v>0</v>
      </c>
      <c r="S132" s="119">
        <f>SUM(S44:S131)</f>
        <v>3333789.8515384612</v>
      </c>
      <c r="T132" s="14">
        <f>Q132+O132+M132+K132</f>
        <v>3333789.8515384616</v>
      </c>
      <c r="U132" s="341">
        <f>AVERAGE(AVERAGE(U104:U131),AVERAGE(U44:U102))</f>
        <v>4.7021791767554479E-3</v>
      </c>
      <c r="V132" s="341">
        <f t="shared" ref="V132:Y132" si="38">AVERAGE(AVERAGE(V104:V131),AVERAGE(V44:V102))</f>
        <v>1.4762086626223562E-2</v>
      </c>
      <c r="W132" s="341">
        <f t="shared" si="38"/>
        <v>8.6853298328260706E-2</v>
      </c>
      <c r="X132" s="341">
        <f t="shared" si="38"/>
        <v>0.48398725406667381</v>
      </c>
      <c r="Y132" s="341">
        <f t="shared" si="38"/>
        <v>0.59030481819791336</v>
      </c>
    </row>
    <row r="133" spans="1:25" x14ac:dyDescent="0.25">
      <c r="U133" s="339">
        <f>+K132/I132</f>
        <v>2.6536359098576042E-2</v>
      </c>
      <c r="V133" s="339">
        <f>+M132/I132</f>
        <v>3.2131026300736588E-2</v>
      </c>
      <c r="W133" s="339">
        <f>+O132/I132</f>
        <v>0.16012613749898202</v>
      </c>
      <c r="X133" s="339">
        <f>+Q132/I132</f>
        <v>0.18441993109348823</v>
      </c>
      <c r="Y133" s="339">
        <f>+S132/I132</f>
        <v>0.40321345399178282</v>
      </c>
    </row>
    <row r="134" spans="1:25" ht="15.75" thickBot="1" x14ac:dyDescent="0.3"/>
    <row r="135" spans="1:25" ht="47.25" customHeight="1" thickBot="1" x14ac:dyDescent="0.3">
      <c r="B135" s="195"/>
      <c r="C135" s="195"/>
      <c r="D135" s="195"/>
      <c r="E135" s="195"/>
      <c r="F135" s="617" t="s">
        <v>473</v>
      </c>
      <c r="G135" s="618"/>
      <c r="H135" s="618"/>
      <c r="I135" s="618"/>
      <c r="J135" s="618"/>
      <c r="K135" s="618"/>
      <c r="L135" s="618"/>
      <c r="M135" s="618"/>
      <c r="N135" s="618"/>
      <c r="O135" s="618"/>
      <c r="P135" s="618"/>
      <c r="Q135" s="618"/>
      <c r="R135" s="584" t="s">
        <v>227</v>
      </c>
      <c r="S135" s="585"/>
      <c r="Y135" s="326" t="s">
        <v>227</v>
      </c>
    </row>
    <row r="136" spans="1:25" ht="50.25" thickBot="1" x14ac:dyDescent="0.3">
      <c r="A136" s="314" t="s">
        <v>228</v>
      </c>
      <c r="B136" s="314"/>
      <c r="C136" s="314"/>
      <c r="D136" s="314"/>
      <c r="E136" s="314"/>
      <c r="F136" s="314" t="s">
        <v>85</v>
      </c>
      <c r="G136" s="314" t="s">
        <v>229</v>
      </c>
      <c r="H136" s="314" t="s">
        <v>123</v>
      </c>
      <c r="I136" s="113" t="s">
        <v>230</v>
      </c>
      <c r="J136" s="314">
        <v>2021</v>
      </c>
      <c r="K136" s="314" t="s">
        <v>79</v>
      </c>
      <c r="L136" s="314">
        <v>2022</v>
      </c>
      <c r="M136" s="314" t="s">
        <v>79</v>
      </c>
      <c r="N136" s="314">
        <v>2023</v>
      </c>
      <c r="O136" s="314" t="s">
        <v>79</v>
      </c>
      <c r="P136" s="314">
        <v>2025</v>
      </c>
      <c r="Q136" s="314" t="s">
        <v>79</v>
      </c>
      <c r="R136" s="314" t="s">
        <v>124</v>
      </c>
      <c r="S136" s="314" t="s">
        <v>77</v>
      </c>
      <c r="U136" s="335">
        <v>2021</v>
      </c>
      <c r="V136" s="335">
        <v>2022</v>
      </c>
      <c r="W136" s="335">
        <v>2023</v>
      </c>
      <c r="X136" s="335">
        <v>2025</v>
      </c>
      <c r="Y136" s="335" t="s">
        <v>124</v>
      </c>
    </row>
    <row r="137" spans="1:25" ht="18" customHeight="1" thickTop="1" thickBot="1" x14ac:dyDescent="0.3">
      <c r="A137" s="558" t="s">
        <v>473</v>
      </c>
      <c r="B137" s="550" t="s">
        <v>474</v>
      </c>
      <c r="C137" s="627" t="s">
        <v>475</v>
      </c>
      <c r="D137" s="628"/>
      <c r="E137" s="56" t="s">
        <v>476</v>
      </c>
      <c r="F137" s="48" t="s">
        <v>477</v>
      </c>
      <c r="G137" s="47">
        <v>118</v>
      </c>
      <c r="H137" s="72">
        <f>'TABLA GENERAL'!D159</f>
        <v>260</v>
      </c>
      <c r="I137" s="114">
        <f>H137*G137</f>
        <v>30680</v>
      </c>
      <c r="J137" s="20">
        <v>0</v>
      </c>
      <c r="K137" s="60">
        <f>J137*H137</f>
        <v>0</v>
      </c>
      <c r="L137" s="20">
        <v>14</v>
      </c>
      <c r="M137" s="60">
        <f>L137*H137</f>
        <v>3640</v>
      </c>
      <c r="N137" s="20">
        <v>14</v>
      </c>
      <c r="O137" s="60">
        <f>N137*H137</f>
        <v>3640</v>
      </c>
      <c r="P137" s="20">
        <v>14</v>
      </c>
      <c r="Q137" s="60">
        <f>P137*H137</f>
        <v>3640</v>
      </c>
      <c r="R137" s="18">
        <f>P137+N137+L137+J137</f>
        <v>42</v>
      </c>
      <c r="S137" s="18">
        <f t="shared" ref="R137:S152" si="39">Q137+O137+M137+K137</f>
        <v>10920</v>
      </c>
      <c r="U137" s="336">
        <f>+J137/G137</f>
        <v>0</v>
      </c>
      <c r="V137" s="336">
        <f>+L137/G137</f>
        <v>0.11864406779661017</v>
      </c>
      <c r="W137" s="336">
        <f>+N137/G137</f>
        <v>0.11864406779661017</v>
      </c>
      <c r="X137" s="336">
        <f>+P137/G137</f>
        <v>0.11864406779661017</v>
      </c>
      <c r="Y137" s="338">
        <f t="shared" ref="Y137" si="40">+R137/G137</f>
        <v>0.3559322033898305</v>
      </c>
    </row>
    <row r="138" spans="1:25" ht="18" customHeight="1" thickTop="1" thickBot="1" x14ac:dyDescent="0.3">
      <c r="A138" s="559" t="s">
        <v>473</v>
      </c>
      <c r="B138" s="551"/>
      <c r="C138" s="629"/>
      <c r="D138" s="630"/>
      <c r="E138" s="56" t="s">
        <v>478</v>
      </c>
      <c r="F138" s="32" t="s">
        <v>479</v>
      </c>
      <c r="G138" s="15">
        <v>92</v>
      </c>
      <c r="H138" s="72">
        <f>'TABLA GENERAL'!D160</f>
        <v>84</v>
      </c>
      <c r="I138" s="114">
        <f t="shared" ref="I138:I166" si="41">H138*G138</f>
        <v>7728</v>
      </c>
      <c r="J138" s="20">
        <v>0</v>
      </c>
      <c r="K138" s="60">
        <f t="shared" ref="K138:K166" si="42">J138*H138</f>
        <v>0</v>
      </c>
      <c r="L138" s="15">
        <v>14</v>
      </c>
      <c r="M138" s="60">
        <f>L138*H138</f>
        <v>1176</v>
      </c>
      <c r="N138" s="15">
        <v>14</v>
      </c>
      <c r="O138" s="60">
        <f t="shared" ref="O138:O166" si="43">N138*H138</f>
        <v>1176</v>
      </c>
      <c r="P138" s="15">
        <v>14</v>
      </c>
      <c r="Q138" s="60">
        <f t="shared" ref="Q138:Q166" si="44">P138*H138</f>
        <v>1176</v>
      </c>
      <c r="R138" s="18">
        <f t="shared" si="39"/>
        <v>42</v>
      </c>
      <c r="S138" s="18">
        <f t="shared" si="39"/>
        <v>3528</v>
      </c>
      <c r="U138" s="336">
        <f t="shared" ref="U138:U166" si="45">+J138/G138</f>
        <v>0</v>
      </c>
      <c r="V138" s="336">
        <f t="shared" ref="V138:V166" si="46">+L138/G138</f>
        <v>0.15217391304347827</v>
      </c>
      <c r="W138" s="336">
        <f t="shared" ref="W138:W166" si="47">+N138/G138</f>
        <v>0.15217391304347827</v>
      </c>
      <c r="X138" s="336">
        <f t="shared" ref="X138:X166" si="48">+P138/G138</f>
        <v>0.15217391304347827</v>
      </c>
      <c r="Y138" s="338">
        <f t="shared" ref="Y138:Y166" si="49">+R138/G138</f>
        <v>0.45652173913043476</v>
      </c>
    </row>
    <row r="139" spans="1:25" ht="18" customHeight="1" thickTop="1" thickBot="1" x14ac:dyDescent="0.3">
      <c r="A139" s="559" t="s">
        <v>473</v>
      </c>
      <c r="B139" s="551"/>
      <c r="C139" s="629"/>
      <c r="D139" s="630"/>
      <c r="E139" s="56" t="s">
        <v>480</v>
      </c>
      <c r="F139" s="32" t="s">
        <v>481</v>
      </c>
      <c r="G139" s="15">
        <v>111</v>
      </c>
      <c r="H139" s="72">
        <f>'TABLA GENERAL'!D161</f>
        <v>29</v>
      </c>
      <c r="I139" s="114">
        <f t="shared" si="41"/>
        <v>3219</v>
      </c>
      <c r="J139" s="20">
        <v>0</v>
      </c>
      <c r="K139" s="60">
        <f t="shared" si="42"/>
        <v>0</v>
      </c>
      <c r="L139" s="15">
        <v>14</v>
      </c>
      <c r="M139" s="60">
        <f t="shared" ref="M139:M166" si="50">L139*H139</f>
        <v>406</v>
      </c>
      <c r="N139" s="15">
        <v>14</v>
      </c>
      <c r="O139" s="60">
        <f t="shared" si="43"/>
        <v>406</v>
      </c>
      <c r="P139" s="15">
        <v>14</v>
      </c>
      <c r="Q139" s="60">
        <f t="shared" si="44"/>
        <v>406</v>
      </c>
      <c r="R139" s="18">
        <f t="shared" si="39"/>
        <v>42</v>
      </c>
      <c r="S139" s="18">
        <f t="shared" si="39"/>
        <v>1218</v>
      </c>
      <c r="U139" s="336">
        <f t="shared" si="45"/>
        <v>0</v>
      </c>
      <c r="V139" s="336">
        <f t="shared" si="46"/>
        <v>0.12612612612612611</v>
      </c>
      <c r="W139" s="336">
        <f t="shared" si="47"/>
        <v>0.12612612612612611</v>
      </c>
      <c r="X139" s="336">
        <f t="shared" si="48"/>
        <v>0.12612612612612611</v>
      </c>
      <c r="Y139" s="338">
        <f t="shared" si="49"/>
        <v>0.3783783783783784</v>
      </c>
    </row>
    <row r="140" spans="1:25" ht="18" customHeight="1" thickTop="1" thickBot="1" x14ac:dyDescent="0.3">
      <c r="A140" s="559" t="s">
        <v>473</v>
      </c>
      <c r="B140" s="551"/>
      <c r="C140" s="629"/>
      <c r="D140" s="630"/>
      <c r="E140" s="56" t="s">
        <v>482</v>
      </c>
      <c r="F140" s="32" t="s">
        <v>483</v>
      </c>
      <c r="G140" s="15">
        <v>120</v>
      </c>
      <c r="H140" s="72">
        <f>'TABLA GENERAL'!D162</f>
        <v>32</v>
      </c>
      <c r="I140" s="114">
        <f t="shared" si="41"/>
        <v>3840</v>
      </c>
      <c r="J140" s="20">
        <v>0</v>
      </c>
      <c r="K140" s="60">
        <f t="shared" si="42"/>
        <v>0</v>
      </c>
      <c r="L140" s="15">
        <v>0</v>
      </c>
      <c r="M140" s="60">
        <f t="shared" si="50"/>
        <v>0</v>
      </c>
      <c r="N140" s="15">
        <v>0</v>
      </c>
      <c r="O140" s="60">
        <f t="shared" si="43"/>
        <v>0</v>
      </c>
      <c r="P140" s="15">
        <v>14</v>
      </c>
      <c r="Q140" s="60">
        <f t="shared" si="44"/>
        <v>448</v>
      </c>
      <c r="R140" s="18">
        <f t="shared" si="39"/>
        <v>14</v>
      </c>
      <c r="S140" s="18">
        <f t="shared" si="39"/>
        <v>448</v>
      </c>
      <c r="U140" s="336">
        <f t="shared" si="45"/>
        <v>0</v>
      </c>
      <c r="V140" s="336">
        <f t="shared" si="46"/>
        <v>0</v>
      </c>
      <c r="W140" s="336">
        <f t="shared" si="47"/>
        <v>0</v>
      </c>
      <c r="X140" s="336">
        <f t="shared" si="48"/>
        <v>0.11666666666666667</v>
      </c>
      <c r="Y140" s="338">
        <f t="shared" si="49"/>
        <v>0.11666666666666667</v>
      </c>
    </row>
    <row r="141" spans="1:25" ht="18" customHeight="1" thickTop="1" thickBot="1" x14ac:dyDescent="0.3">
      <c r="A141" s="559" t="s">
        <v>473</v>
      </c>
      <c r="B141" s="551"/>
      <c r="C141" s="629"/>
      <c r="D141" s="630"/>
      <c r="E141" s="56" t="s">
        <v>484</v>
      </c>
      <c r="F141" s="32" t="s">
        <v>485</v>
      </c>
      <c r="G141" s="15">
        <v>115</v>
      </c>
      <c r="H141" s="72">
        <f>'TABLA GENERAL'!D163</f>
        <v>78</v>
      </c>
      <c r="I141" s="114">
        <f t="shared" si="41"/>
        <v>8970</v>
      </c>
      <c r="J141" s="20">
        <v>0</v>
      </c>
      <c r="K141" s="60">
        <f t="shared" si="42"/>
        <v>0</v>
      </c>
      <c r="L141" s="15">
        <v>0</v>
      </c>
      <c r="M141" s="60">
        <f t="shared" si="50"/>
        <v>0</v>
      </c>
      <c r="N141" s="15">
        <v>0</v>
      </c>
      <c r="O141" s="60">
        <f t="shared" si="43"/>
        <v>0</v>
      </c>
      <c r="P141" s="15">
        <v>14</v>
      </c>
      <c r="Q141" s="60">
        <f t="shared" si="44"/>
        <v>1092</v>
      </c>
      <c r="R141" s="18">
        <f t="shared" si="39"/>
        <v>14</v>
      </c>
      <c r="S141" s="18">
        <f t="shared" si="39"/>
        <v>1092</v>
      </c>
      <c r="U141" s="336">
        <f t="shared" si="45"/>
        <v>0</v>
      </c>
      <c r="V141" s="336">
        <f t="shared" si="46"/>
        <v>0</v>
      </c>
      <c r="W141" s="336">
        <f t="shared" si="47"/>
        <v>0</v>
      </c>
      <c r="X141" s="336">
        <f t="shared" si="48"/>
        <v>0.12173913043478261</v>
      </c>
      <c r="Y141" s="338">
        <f t="shared" si="49"/>
        <v>0.12173913043478261</v>
      </c>
    </row>
    <row r="142" spans="1:25" ht="16.5" thickTop="1" thickBot="1" x14ac:dyDescent="0.3">
      <c r="A142" s="559" t="s">
        <v>473</v>
      </c>
      <c r="B142" s="551"/>
      <c r="C142" s="629"/>
      <c r="D142" s="630"/>
      <c r="E142" s="56" t="s">
        <v>486</v>
      </c>
      <c r="F142" s="32" t="s">
        <v>487</v>
      </c>
      <c r="G142" s="15">
        <v>120</v>
      </c>
      <c r="H142" s="72">
        <f>'TABLA GENERAL'!D164</f>
        <v>52</v>
      </c>
      <c r="I142" s="114">
        <f t="shared" si="41"/>
        <v>6240</v>
      </c>
      <c r="J142" s="20">
        <v>0</v>
      </c>
      <c r="K142" s="60">
        <f t="shared" si="42"/>
        <v>0</v>
      </c>
      <c r="L142" s="15">
        <v>0</v>
      </c>
      <c r="M142" s="60">
        <f t="shared" si="50"/>
        <v>0</v>
      </c>
      <c r="N142" s="15">
        <v>0</v>
      </c>
      <c r="O142" s="60">
        <f t="shared" si="43"/>
        <v>0</v>
      </c>
      <c r="P142" s="15">
        <v>14</v>
      </c>
      <c r="Q142" s="60">
        <f t="shared" si="44"/>
        <v>728</v>
      </c>
      <c r="R142" s="18">
        <f t="shared" si="39"/>
        <v>14</v>
      </c>
      <c r="S142" s="18">
        <f t="shared" si="39"/>
        <v>728</v>
      </c>
      <c r="U142" s="336">
        <f t="shared" si="45"/>
        <v>0</v>
      </c>
      <c r="V142" s="336">
        <f t="shared" si="46"/>
        <v>0</v>
      </c>
      <c r="W142" s="336">
        <f t="shared" si="47"/>
        <v>0</v>
      </c>
      <c r="X142" s="336">
        <f t="shared" si="48"/>
        <v>0.11666666666666667</v>
      </c>
      <c r="Y142" s="338">
        <f t="shared" si="49"/>
        <v>0.11666666666666667</v>
      </c>
    </row>
    <row r="143" spans="1:25" ht="16.5" thickTop="1" thickBot="1" x14ac:dyDescent="0.3">
      <c r="A143" s="559" t="s">
        <v>473</v>
      </c>
      <c r="B143" s="551"/>
      <c r="C143" s="629"/>
      <c r="D143" s="630"/>
      <c r="E143" s="56" t="s">
        <v>488</v>
      </c>
      <c r="F143" s="32" t="s">
        <v>489</v>
      </c>
      <c r="G143" s="15">
        <v>95</v>
      </c>
      <c r="H143" s="72">
        <f>'TABLA GENERAL'!D165</f>
        <v>201</v>
      </c>
      <c r="I143" s="114">
        <f t="shared" si="41"/>
        <v>19095</v>
      </c>
      <c r="J143" s="20">
        <v>0</v>
      </c>
      <c r="K143" s="60">
        <f t="shared" si="42"/>
        <v>0</v>
      </c>
      <c r="L143" s="15">
        <v>0</v>
      </c>
      <c r="M143" s="60">
        <f t="shared" si="50"/>
        <v>0</v>
      </c>
      <c r="N143" s="15">
        <v>0</v>
      </c>
      <c r="O143" s="60">
        <f t="shared" si="43"/>
        <v>0</v>
      </c>
      <c r="P143" s="15">
        <v>14</v>
      </c>
      <c r="Q143" s="60">
        <f t="shared" si="44"/>
        <v>2814</v>
      </c>
      <c r="R143" s="18">
        <f t="shared" si="39"/>
        <v>14</v>
      </c>
      <c r="S143" s="18">
        <f t="shared" si="39"/>
        <v>2814</v>
      </c>
      <c r="U143" s="336">
        <f t="shared" si="45"/>
        <v>0</v>
      </c>
      <c r="V143" s="336">
        <f t="shared" si="46"/>
        <v>0</v>
      </c>
      <c r="W143" s="336">
        <f t="shared" si="47"/>
        <v>0</v>
      </c>
      <c r="X143" s="336">
        <f t="shared" si="48"/>
        <v>0.14736842105263157</v>
      </c>
      <c r="Y143" s="338">
        <f t="shared" si="49"/>
        <v>0.14736842105263157</v>
      </c>
    </row>
    <row r="144" spans="1:25" ht="16.5" thickTop="1" thickBot="1" x14ac:dyDescent="0.3">
      <c r="A144" s="559" t="s">
        <v>473</v>
      </c>
      <c r="B144" s="551"/>
      <c r="C144" s="629"/>
      <c r="D144" s="630"/>
      <c r="E144" s="56" t="s">
        <v>490</v>
      </c>
      <c r="F144" s="32" t="s">
        <v>491</v>
      </c>
      <c r="G144" s="15">
        <v>117</v>
      </c>
      <c r="H144" s="72">
        <f>'TABLA GENERAL'!D166</f>
        <v>60</v>
      </c>
      <c r="I144" s="114">
        <f t="shared" si="41"/>
        <v>7020</v>
      </c>
      <c r="J144" s="20">
        <v>0</v>
      </c>
      <c r="K144" s="60">
        <f t="shared" si="42"/>
        <v>0</v>
      </c>
      <c r="L144" s="15">
        <v>0</v>
      </c>
      <c r="M144" s="60">
        <f t="shared" si="50"/>
        <v>0</v>
      </c>
      <c r="N144" s="15">
        <v>0</v>
      </c>
      <c r="O144" s="60">
        <f t="shared" si="43"/>
        <v>0</v>
      </c>
      <c r="P144" s="15">
        <v>14</v>
      </c>
      <c r="Q144" s="60">
        <f t="shared" si="44"/>
        <v>840</v>
      </c>
      <c r="R144" s="18">
        <f t="shared" si="39"/>
        <v>14</v>
      </c>
      <c r="S144" s="18">
        <f t="shared" si="39"/>
        <v>840</v>
      </c>
      <c r="U144" s="336">
        <f t="shared" si="45"/>
        <v>0</v>
      </c>
      <c r="V144" s="336">
        <f t="shared" si="46"/>
        <v>0</v>
      </c>
      <c r="W144" s="336">
        <f t="shared" si="47"/>
        <v>0</v>
      </c>
      <c r="X144" s="336">
        <f t="shared" si="48"/>
        <v>0.11965811965811966</v>
      </c>
      <c r="Y144" s="338">
        <f t="shared" si="49"/>
        <v>0.11965811965811966</v>
      </c>
    </row>
    <row r="145" spans="1:25" ht="31.5" thickTop="1" thickBot="1" x14ac:dyDescent="0.3">
      <c r="A145" s="559" t="s">
        <v>473</v>
      </c>
      <c r="B145" s="551"/>
      <c r="C145" s="629"/>
      <c r="D145" s="630"/>
      <c r="E145" s="56" t="s">
        <v>120</v>
      </c>
      <c r="F145" s="32" t="s">
        <v>119</v>
      </c>
      <c r="G145" s="15">
        <v>68</v>
      </c>
      <c r="H145" s="72">
        <f>'TABLA GENERAL'!D167</f>
        <v>3202</v>
      </c>
      <c r="I145" s="114">
        <f t="shared" si="41"/>
        <v>217736</v>
      </c>
      <c r="J145" s="15">
        <v>14</v>
      </c>
      <c r="K145" s="60">
        <f>J145*H145</f>
        <v>44828</v>
      </c>
      <c r="L145" s="15">
        <v>14</v>
      </c>
      <c r="M145" s="60">
        <f t="shared" si="50"/>
        <v>44828</v>
      </c>
      <c r="N145" s="15">
        <v>14</v>
      </c>
      <c r="O145" s="60">
        <f t="shared" si="43"/>
        <v>44828</v>
      </c>
      <c r="P145" s="15">
        <v>14</v>
      </c>
      <c r="Q145" s="60">
        <f t="shared" si="44"/>
        <v>44828</v>
      </c>
      <c r="R145" s="18">
        <f t="shared" si="39"/>
        <v>56</v>
      </c>
      <c r="S145" s="18">
        <f t="shared" si="39"/>
        <v>179312</v>
      </c>
      <c r="U145" s="336">
        <f t="shared" si="45"/>
        <v>0.20588235294117646</v>
      </c>
      <c r="V145" s="336">
        <f t="shared" si="46"/>
        <v>0.20588235294117646</v>
      </c>
      <c r="W145" s="336">
        <f t="shared" si="47"/>
        <v>0.20588235294117646</v>
      </c>
      <c r="X145" s="336">
        <f t="shared" si="48"/>
        <v>0.20588235294117646</v>
      </c>
      <c r="Y145" s="338">
        <f t="shared" si="49"/>
        <v>0.82352941176470584</v>
      </c>
    </row>
    <row r="146" spans="1:25" ht="16.5" thickTop="1" thickBot="1" x14ac:dyDescent="0.3">
      <c r="A146" s="559" t="s">
        <v>473</v>
      </c>
      <c r="B146" s="551"/>
      <c r="C146" s="629"/>
      <c r="D146" s="630"/>
      <c r="E146" s="56" t="s">
        <v>117</v>
      </c>
      <c r="F146" s="32" t="s">
        <v>116</v>
      </c>
      <c r="G146" s="15">
        <v>5</v>
      </c>
      <c r="H146" s="72">
        <f>'TABLA GENERAL'!D168</f>
        <v>12096</v>
      </c>
      <c r="I146" s="114">
        <f t="shared" si="41"/>
        <v>60480</v>
      </c>
      <c r="J146" s="15">
        <v>0</v>
      </c>
      <c r="K146" s="60">
        <f t="shared" si="42"/>
        <v>0</v>
      </c>
      <c r="L146" s="15">
        <v>0</v>
      </c>
      <c r="M146" s="60">
        <f t="shared" si="50"/>
        <v>0</v>
      </c>
      <c r="N146" s="15">
        <v>0</v>
      </c>
      <c r="O146" s="60">
        <f t="shared" si="43"/>
        <v>0</v>
      </c>
      <c r="P146" s="15">
        <v>5</v>
      </c>
      <c r="Q146" s="60">
        <f t="shared" si="44"/>
        <v>60480</v>
      </c>
      <c r="R146" s="18">
        <f t="shared" si="39"/>
        <v>5</v>
      </c>
      <c r="S146" s="18">
        <f t="shared" si="39"/>
        <v>60480</v>
      </c>
      <c r="U146" s="336">
        <f t="shared" si="45"/>
        <v>0</v>
      </c>
      <c r="V146" s="336">
        <f t="shared" si="46"/>
        <v>0</v>
      </c>
      <c r="W146" s="336">
        <f t="shared" si="47"/>
        <v>0</v>
      </c>
      <c r="X146" s="336">
        <f t="shared" si="48"/>
        <v>1</v>
      </c>
      <c r="Y146" s="338">
        <f t="shared" si="49"/>
        <v>1</v>
      </c>
    </row>
    <row r="147" spans="1:25" ht="16.5" thickTop="1" thickBot="1" x14ac:dyDescent="0.3">
      <c r="A147" s="559" t="s">
        <v>473</v>
      </c>
      <c r="B147" s="551"/>
      <c r="C147" s="629"/>
      <c r="D147" s="630"/>
      <c r="E147" s="56" t="s">
        <v>115</v>
      </c>
      <c r="F147" s="32" t="s">
        <v>114</v>
      </c>
      <c r="G147" s="15">
        <v>56</v>
      </c>
      <c r="H147" s="72">
        <f>'TABLA GENERAL'!D169</f>
        <v>3600</v>
      </c>
      <c r="I147" s="114">
        <f t="shared" si="41"/>
        <v>201600</v>
      </c>
      <c r="J147" s="15">
        <v>18</v>
      </c>
      <c r="K147" s="60">
        <f t="shared" si="42"/>
        <v>64800</v>
      </c>
      <c r="L147" s="15">
        <v>6</v>
      </c>
      <c r="M147" s="60">
        <f t="shared" si="50"/>
        <v>21600</v>
      </c>
      <c r="N147" s="15">
        <v>22</v>
      </c>
      <c r="O147" s="60">
        <f t="shared" si="43"/>
        <v>79200</v>
      </c>
      <c r="P147" s="15">
        <v>10</v>
      </c>
      <c r="Q147" s="60">
        <f t="shared" si="44"/>
        <v>36000</v>
      </c>
      <c r="R147" s="18">
        <f t="shared" si="39"/>
        <v>56</v>
      </c>
      <c r="S147" s="18">
        <f t="shared" si="39"/>
        <v>201600</v>
      </c>
      <c r="U147" s="336">
        <f t="shared" si="45"/>
        <v>0.32142857142857145</v>
      </c>
      <c r="V147" s="336">
        <f t="shared" si="46"/>
        <v>0.10714285714285714</v>
      </c>
      <c r="W147" s="336">
        <f t="shared" si="47"/>
        <v>0.39285714285714285</v>
      </c>
      <c r="X147" s="336">
        <f t="shared" si="48"/>
        <v>0.17857142857142858</v>
      </c>
      <c r="Y147" s="338">
        <f t="shared" si="49"/>
        <v>1</v>
      </c>
    </row>
    <row r="148" spans="1:25" ht="16.5" thickTop="1" thickBot="1" x14ac:dyDescent="0.3">
      <c r="A148" s="559" t="s">
        <v>473</v>
      </c>
      <c r="B148" s="551"/>
      <c r="C148" s="629"/>
      <c r="D148" s="630"/>
      <c r="E148" s="56" t="s">
        <v>492</v>
      </c>
      <c r="F148" s="32" t="s">
        <v>493</v>
      </c>
      <c r="G148" s="15">
        <v>28</v>
      </c>
      <c r="H148" s="72">
        <f>'TABLA GENERAL'!D170</f>
        <v>274</v>
      </c>
      <c r="I148" s="114">
        <f t="shared" si="41"/>
        <v>7672</v>
      </c>
      <c r="J148" s="15">
        <v>0</v>
      </c>
      <c r="K148" s="60">
        <f t="shared" si="42"/>
        <v>0</v>
      </c>
      <c r="L148" s="15">
        <v>0</v>
      </c>
      <c r="M148" s="60">
        <f t="shared" si="50"/>
        <v>0</v>
      </c>
      <c r="N148" s="15">
        <v>0</v>
      </c>
      <c r="O148" s="60">
        <f t="shared" si="43"/>
        <v>0</v>
      </c>
      <c r="P148" s="15">
        <v>0</v>
      </c>
      <c r="Q148" s="60">
        <f t="shared" si="44"/>
        <v>0</v>
      </c>
      <c r="R148" s="18">
        <f t="shared" si="39"/>
        <v>0</v>
      </c>
      <c r="S148" s="18">
        <f t="shared" si="39"/>
        <v>0</v>
      </c>
      <c r="U148" s="336">
        <f t="shared" si="45"/>
        <v>0</v>
      </c>
      <c r="V148" s="336">
        <f t="shared" si="46"/>
        <v>0</v>
      </c>
      <c r="W148" s="336">
        <f t="shared" si="47"/>
        <v>0</v>
      </c>
      <c r="X148" s="336">
        <f t="shared" si="48"/>
        <v>0</v>
      </c>
      <c r="Y148" s="338">
        <f t="shared" si="49"/>
        <v>0</v>
      </c>
    </row>
    <row r="149" spans="1:25" ht="16.5" thickTop="1" thickBot="1" x14ac:dyDescent="0.3">
      <c r="A149" s="559" t="s">
        <v>473</v>
      </c>
      <c r="B149" s="551"/>
      <c r="C149" s="629"/>
      <c r="D149" s="630"/>
      <c r="E149" s="56" t="s">
        <v>494</v>
      </c>
      <c r="F149" s="32" t="s">
        <v>495</v>
      </c>
      <c r="G149" s="15">
        <v>49</v>
      </c>
      <c r="H149" s="72">
        <f>'TABLA GENERAL'!D171</f>
        <v>1778</v>
      </c>
      <c r="I149" s="114">
        <f t="shared" si="41"/>
        <v>87122</v>
      </c>
      <c r="J149" s="15">
        <v>0</v>
      </c>
      <c r="K149" s="60">
        <f t="shared" si="42"/>
        <v>0</v>
      </c>
      <c r="L149" s="15">
        <v>0</v>
      </c>
      <c r="M149" s="60">
        <f t="shared" si="50"/>
        <v>0</v>
      </c>
      <c r="N149" s="15">
        <v>0</v>
      </c>
      <c r="O149" s="60">
        <f t="shared" si="43"/>
        <v>0</v>
      </c>
      <c r="P149" s="15">
        <v>12</v>
      </c>
      <c r="Q149" s="60">
        <f t="shared" si="44"/>
        <v>21336</v>
      </c>
      <c r="R149" s="18">
        <f t="shared" si="39"/>
        <v>12</v>
      </c>
      <c r="S149" s="18">
        <f t="shared" si="39"/>
        <v>21336</v>
      </c>
      <c r="U149" s="336">
        <f t="shared" si="45"/>
        <v>0</v>
      </c>
      <c r="V149" s="336">
        <f t="shared" si="46"/>
        <v>0</v>
      </c>
      <c r="W149" s="336">
        <f t="shared" si="47"/>
        <v>0</v>
      </c>
      <c r="X149" s="336">
        <f t="shared" si="48"/>
        <v>0.24489795918367346</v>
      </c>
      <c r="Y149" s="338">
        <f t="shared" si="49"/>
        <v>0.24489795918367346</v>
      </c>
    </row>
    <row r="150" spans="1:25" ht="16.5" thickTop="1" thickBot="1" x14ac:dyDescent="0.3">
      <c r="A150" s="559" t="s">
        <v>473</v>
      </c>
      <c r="B150" s="551"/>
      <c r="C150" s="629"/>
      <c r="D150" s="630"/>
      <c r="E150" s="56" t="s">
        <v>496</v>
      </c>
      <c r="F150" s="32" t="s">
        <v>497</v>
      </c>
      <c r="G150" s="15">
        <v>22</v>
      </c>
      <c r="H150" s="72">
        <f>'TABLA GENERAL'!D172</f>
        <v>154</v>
      </c>
      <c r="I150" s="114">
        <f t="shared" si="41"/>
        <v>3388</v>
      </c>
      <c r="J150" s="15">
        <v>0</v>
      </c>
      <c r="K150" s="60">
        <f t="shared" si="42"/>
        <v>0</v>
      </c>
      <c r="L150" s="15">
        <v>0</v>
      </c>
      <c r="M150" s="60">
        <f t="shared" si="50"/>
        <v>0</v>
      </c>
      <c r="N150" s="15">
        <v>0</v>
      </c>
      <c r="O150" s="60">
        <f t="shared" si="43"/>
        <v>0</v>
      </c>
      <c r="P150" s="15">
        <v>22</v>
      </c>
      <c r="Q150" s="60">
        <f t="shared" si="44"/>
        <v>3388</v>
      </c>
      <c r="R150" s="18">
        <f t="shared" si="39"/>
        <v>22</v>
      </c>
      <c r="S150" s="18">
        <f t="shared" si="39"/>
        <v>3388</v>
      </c>
      <c r="U150" s="336">
        <f t="shared" si="45"/>
        <v>0</v>
      </c>
      <c r="V150" s="336">
        <f t="shared" si="46"/>
        <v>0</v>
      </c>
      <c r="W150" s="336">
        <f t="shared" si="47"/>
        <v>0</v>
      </c>
      <c r="X150" s="336">
        <f t="shared" si="48"/>
        <v>1</v>
      </c>
      <c r="Y150" s="338">
        <f t="shared" si="49"/>
        <v>1</v>
      </c>
    </row>
    <row r="151" spans="1:25" ht="16.5" thickTop="1" thickBot="1" x14ac:dyDescent="0.3">
      <c r="A151" s="559" t="s">
        <v>473</v>
      </c>
      <c r="B151" s="551"/>
      <c r="C151" s="629"/>
      <c r="D151" s="630"/>
      <c r="E151" s="56" t="s">
        <v>498</v>
      </c>
      <c r="F151" s="32" t="s">
        <v>499</v>
      </c>
      <c r="G151" s="15">
        <v>2</v>
      </c>
      <c r="H151" s="59">
        <f>'TABLA GENERAL'!D176</f>
        <v>256</v>
      </c>
      <c r="I151" s="114">
        <f t="shared" si="41"/>
        <v>512</v>
      </c>
      <c r="J151" s="15">
        <v>0</v>
      </c>
      <c r="K151" s="60">
        <f t="shared" si="42"/>
        <v>0</v>
      </c>
      <c r="L151" s="15">
        <v>0</v>
      </c>
      <c r="M151" s="60">
        <f t="shared" si="50"/>
        <v>0</v>
      </c>
      <c r="N151" s="15">
        <v>0</v>
      </c>
      <c r="O151" s="60">
        <f t="shared" si="43"/>
        <v>0</v>
      </c>
      <c r="P151" s="15">
        <v>2</v>
      </c>
      <c r="Q151" s="60">
        <f t="shared" si="44"/>
        <v>512</v>
      </c>
      <c r="R151" s="18">
        <f t="shared" si="39"/>
        <v>2</v>
      </c>
      <c r="S151" s="18">
        <f t="shared" si="39"/>
        <v>512</v>
      </c>
      <c r="U151" s="336">
        <f t="shared" si="45"/>
        <v>0</v>
      </c>
      <c r="V151" s="336">
        <f t="shared" si="46"/>
        <v>0</v>
      </c>
      <c r="W151" s="336">
        <f t="shared" si="47"/>
        <v>0</v>
      </c>
      <c r="X151" s="336">
        <f t="shared" si="48"/>
        <v>1</v>
      </c>
      <c r="Y151" s="338">
        <f t="shared" si="49"/>
        <v>1</v>
      </c>
    </row>
    <row r="152" spans="1:25" ht="16.5" thickTop="1" thickBot="1" x14ac:dyDescent="0.3">
      <c r="A152" s="559" t="s">
        <v>473</v>
      </c>
      <c r="B152" s="551"/>
      <c r="C152" s="629"/>
      <c r="D152" s="630"/>
      <c r="E152" s="56" t="s">
        <v>500</v>
      </c>
      <c r="F152" s="32" t="s">
        <v>501</v>
      </c>
      <c r="G152" s="15">
        <v>2</v>
      </c>
      <c r="H152" s="59">
        <f>'TABLA GENERAL'!D177</f>
        <v>72</v>
      </c>
      <c r="I152" s="114">
        <f t="shared" si="41"/>
        <v>144</v>
      </c>
      <c r="J152" s="15">
        <v>0</v>
      </c>
      <c r="K152" s="60">
        <f t="shared" si="42"/>
        <v>0</v>
      </c>
      <c r="L152" s="15">
        <v>0</v>
      </c>
      <c r="M152" s="60">
        <f t="shared" si="50"/>
        <v>0</v>
      </c>
      <c r="N152" s="15">
        <v>0</v>
      </c>
      <c r="O152" s="60">
        <f t="shared" si="43"/>
        <v>0</v>
      </c>
      <c r="P152" s="15">
        <v>2</v>
      </c>
      <c r="Q152" s="60">
        <f t="shared" si="44"/>
        <v>144</v>
      </c>
      <c r="R152" s="18">
        <f t="shared" si="39"/>
        <v>2</v>
      </c>
      <c r="S152" s="18">
        <f t="shared" si="39"/>
        <v>144</v>
      </c>
      <c r="U152" s="336">
        <f t="shared" si="45"/>
        <v>0</v>
      </c>
      <c r="V152" s="336">
        <f t="shared" si="46"/>
        <v>0</v>
      </c>
      <c r="W152" s="336">
        <f t="shared" si="47"/>
        <v>0</v>
      </c>
      <c r="X152" s="336">
        <f t="shared" si="48"/>
        <v>1</v>
      </c>
      <c r="Y152" s="338">
        <f t="shared" si="49"/>
        <v>1</v>
      </c>
    </row>
    <row r="153" spans="1:25" ht="16.5" thickTop="1" thickBot="1" x14ac:dyDescent="0.3">
      <c r="A153" s="559"/>
      <c r="B153" s="551"/>
      <c r="C153" s="629"/>
      <c r="D153" s="630"/>
      <c r="E153" s="56" t="s">
        <v>113</v>
      </c>
      <c r="F153" s="57" t="s">
        <v>112</v>
      </c>
      <c r="G153" s="51">
        <v>54</v>
      </c>
      <c r="H153" s="71">
        <f>'TABLA GENERAL'!D190</f>
        <v>450</v>
      </c>
      <c r="I153" s="114">
        <f t="shared" si="41"/>
        <v>24300</v>
      </c>
      <c r="J153" s="15">
        <v>0</v>
      </c>
      <c r="K153" s="60">
        <f t="shared" si="42"/>
        <v>0</v>
      </c>
      <c r="L153" s="51">
        <v>0</v>
      </c>
      <c r="M153" s="60">
        <f t="shared" si="50"/>
        <v>0</v>
      </c>
      <c r="N153" s="15">
        <v>0</v>
      </c>
      <c r="O153" s="60">
        <f t="shared" si="43"/>
        <v>0</v>
      </c>
      <c r="P153" s="51">
        <v>14</v>
      </c>
      <c r="Q153" s="60">
        <f t="shared" si="44"/>
        <v>6300</v>
      </c>
      <c r="R153" s="18">
        <f t="shared" ref="R153:S167" si="51">P153+N153+L153+J153</f>
        <v>14</v>
      </c>
      <c r="S153" s="18">
        <f t="shared" si="51"/>
        <v>6300</v>
      </c>
      <c r="U153" s="336">
        <f t="shared" si="45"/>
        <v>0</v>
      </c>
      <c r="V153" s="336">
        <f t="shared" si="46"/>
        <v>0</v>
      </c>
      <c r="W153" s="336">
        <f t="shared" si="47"/>
        <v>0</v>
      </c>
      <c r="X153" s="336">
        <f t="shared" si="48"/>
        <v>0.25925925925925924</v>
      </c>
      <c r="Y153" s="338">
        <f t="shared" si="49"/>
        <v>0.25925925925925924</v>
      </c>
    </row>
    <row r="154" spans="1:25" ht="16.5" thickTop="1" thickBot="1" x14ac:dyDescent="0.3">
      <c r="A154" s="559" t="s">
        <v>473</v>
      </c>
      <c r="B154" s="551"/>
      <c r="C154" s="629"/>
      <c r="D154" s="630"/>
      <c r="E154" s="56" t="s">
        <v>109</v>
      </c>
      <c r="F154" s="32" t="s">
        <v>108</v>
      </c>
      <c r="G154" s="15">
        <v>36</v>
      </c>
      <c r="H154" s="59">
        <f>'TABLA GENERAL'!D178</f>
        <v>3305</v>
      </c>
      <c r="I154" s="114">
        <f t="shared" si="41"/>
        <v>118980</v>
      </c>
      <c r="J154" s="15">
        <v>14</v>
      </c>
      <c r="K154" s="60">
        <f t="shared" si="42"/>
        <v>46270</v>
      </c>
      <c r="L154" s="15">
        <v>0</v>
      </c>
      <c r="M154" s="60">
        <f t="shared" si="50"/>
        <v>0</v>
      </c>
      <c r="N154" s="15">
        <v>12</v>
      </c>
      <c r="O154" s="60">
        <f t="shared" si="43"/>
        <v>39660</v>
      </c>
      <c r="P154" s="15">
        <v>10</v>
      </c>
      <c r="Q154" s="60">
        <f t="shared" si="44"/>
        <v>33050</v>
      </c>
      <c r="R154" s="18">
        <f t="shared" si="51"/>
        <v>36</v>
      </c>
      <c r="S154" s="18">
        <f t="shared" si="51"/>
        <v>118980</v>
      </c>
      <c r="U154" s="336">
        <f t="shared" si="45"/>
        <v>0.3888888888888889</v>
      </c>
      <c r="V154" s="336">
        <f t="shared" si="46"/>
        <v>0</v>
      </c>
      <c r="W154" s="336">
        <f t="shared" si="47"/>
        <v>0.33333333333333331</v>
      </c>
      <c r="X154" s="336">
        <f t="shared" si="48"/>
        <v>0.27777777777777779</v>
      </c>
      <c r="Y154" s="338">
        <f t="shared" si="49"/>
        <v>1</v>
      </c>
    </row>
    <row r="155" spans="1:25" ht="16.5" thickTop="1" thickBot="1" x14ac:dyDescent="0.3">
      <c r="A155" s="559" t="s">
        <v>473</v>
      </c>
      <c r="B155" s="551"/>
      <c r="C155" s="629"/>
      <c r="D155" s="630"/>
      <c r="E155" s="56" t="s">
        <v>502</v>
      </c>
      <c r="F155" s="32" t="s">
        <v>503</v>
      </c>
      <c r="G155" s="15">
        <v>8</v>
      </c>
      <c r="H155" s="59">
        <f>'TABLA GENERAL'!D179</f>
        <v>403</v>
      </c>
      <c r="I155" s="114">
        <f t="shared" si="41"/>
        <v>3224</v>
      </c>
      <c r="J155" s="15">
        <v>0</v>
      </c>
      <c r="K155" s="60">
        <f t="shared" si="42"/>
        <v>0</v>
      </c>
      <c r="L155" s="15">
        <v>0</v>
      </c>
      <c r="M155" s="60">
        <f t="shared" si="50"/>
        <v>0</v>
      </c>
      <c r="N155" s="15">
        <v>0</v>
      </c>
      <c r="O155" s="60">
        <f t="shared" si="43"/>
        <v>0</v>
      </c>
      <c r="P155" s="15">
        <v>4</v>
      </c>
      <c r="Q155" s="60">
        <f t="shared" si="44"/>
        <v>1612</v>
      </c>
      <c r="R155" s="18">
        <f t="shared" si="51"/>
        <v>4</v>
      </c>
      <c r="S155" s="18">
        <f t="shared" si="51"/>
        <v>1612</v>
      </c>
      <c r="U155" s="336">
        <f t="shared" si="45"/>
        <v>0</v>
      </c>
      <c r="V155" s="336">
        <f t="shared" si="46"/>
        <v>0</v>
      </c>
      <c r="W155" s="336">
        <f t="shared" si="47"/>
        <v>0</v>
      </c>
      <c r="X155" s="336">
        <f t="shared" si="48"/>
        <v>0.5</v>
      </c>
      <c r="Y155" s="338">
        <f t="shared" si="49"/>
        <v>0.5</v>
      </c>
    </row>
    <row r="156" spans="1:25" ht="16.5" thickTop="1" thickBot="1" x14ac:dyDescent="0.3">
      <c r="A156" s="559" t="s">
        <v>473</v>
      </c>
      <c r="B156" s="551"/>
      <c r="C156" s="629"/>
      <c r="D156" s="630"/>
      <c r="E156" s="56" t="s">
        <v>504</v>
      </c>
      <c r="F156" s="32" t="s">
        <v>505</v>
      </c>
      <c r="G156" s="15">
        <v>10</v>
      </c>
      <c r="H156" s="59">
        <f>'TABLA GENERAL'!D180</f>
        <v>140</v>
      </c>
      <c r="I156" s="114">
        <f t="shared" si="41"/>
        <v>1400</v>
      </c>
      <c r="J156" s="15">
        <v>0</v>
      </c>
      <c r="K156" s="60">
        <f t="shared" si="42"/>
        <v>0</v>
      </c>
      <c r="L156" s="15">
        <v>0</v>
      </c>
      <c r="M156" s="60">
        <f t="shared" si="50"/>
        <v>0</v>
      </c>
      <c r="N156" s="15">
        <v>0</v>
      </c>
      <c r="O156" s="60">
        <f t="shared" si="43"/>
        <v>0</v>
      </c>
      <c r="P156" s="15">
        <v>10</v>
      </c>
      <c r="Q156" s="60">
        <f t="shared" si="44"/>
        <v>1400</v>
      </c>
      <c r="R156" s="18">
        <f t="shared" si="51"/>
        <v>10</v>
      </c>
      <c r="S156" s="18">
        <f t="shared" si="51"/>
        <v>1400</v>
      </c>
      <c r="U156" s="336">
        <f t="shared" si="45"/>
        <v>0</v>
      </c>
      <c r="V156" s="336">
        <f t="shared" si="46"/>
        <v>0</v>
      </c>
      <c r="W156" s="336">
        <f t="shared" si="47"/>
        <v>0</v>
      </c>
      <c r="X156" s="336">
        <f t="shared" si="48"/>
        <v>1</v>
      </c>
      <c r="Y156" s="338">
        <f t="shared" si="49"/>
        <v>1</v>
      </c>
    </row>
    <row r="157" spans="1:25" ht="16.5" thickTop="1" thickBot="1" x14ac:dyDescent="0.3">
      <c r="A157" s="559" t="s">
        <v>473</v>
      </c>
      <c r="B157" s="551"/>
      <c r="C157" s="629"/>
      <c r="D157" s="630"/>
      <c r="E157" s="56" t="s">
        <v>506</v>
      </c>
      <c r="F157" s="32" t="s">
        <v>507</v>
      </c>
      <c r="G157" s="15">
        <v>56</v>
      </c>
      <c r="H157" s="59">
        <v>135</v>
      </c>
      <c r="I157" s="114">
        <f t="shared" si="41"/>
        <v>7560</v>
      </c>
      <c r="J157" s="15">
        <v>0</v>
      </c>
      <c r="K157" s="60">
        <f t="shared" si="42"/>
        <v>0</v>
      </c>
      <c r="L157" s="15">
        <v>0</v>
      </c>
      <c r="M157" s="60">
        <f t="shared" si="50"/>
        <v>0</v>
      </c>
      <c r="N157" s="15">
        <v>0</v>
      </c>
      <c r="O157" s="60">
        <f t="shared" si="43"/>
        <v>0</v>
      </c>
      <c r="P157" s="15">
        <v>14</v>
      </c>
      <c r="Q157" s="60">
        <f t="shared" si="44"/>
        <v>1890</v>
      </c>
      <c r="R157" s="18">
        <f t="shared" si="51"/>
        <v>14</v>
      </c>
      <c r="S157" s="18">
        <f t="shared" si="51"/>
        <v>1890</v>
      </c>
      <c r="U157" s="336">
        <f t="shared" si="45"/>
        <v>0</v>
      </c>
      <c r="V157" s="336">
        <f t="shared" si="46"/>
        <v>0</v>
      </c>
      <c r="W157" s="336">
        <f t="shared" si="47"/>
        <v>0</v>
      </c>
      <c r="X157" s="336">
        <f t="shared" si="48"/>
        <v>0.25</v>
      </c>
      <c r="Y157" s="338">
        <f t="shared" si="49"/>
        <v>0.25</v>
      </c>
    </row>
    <row r="158" spans="1:25" ht="16.5" thickTop="1" thickBot="1" x14ac:dyDescent="0.3">
      <c r="A158" s="559" t="s">
        <v>473</v>
      </c>
      <c r="B158" s="551"/>
      <c r="C158" s="629"/>
      <c r="D158" s="630"/>
      <c r="E158" s="56" t="s">
        <v>508</v>
      </c>
      <c r="F158" s="32" t="s">
        <v>509</v>
      </c>
      <c r="G158" s="15">
        <v>56</v>
      </c>
      <c r="H158" s="59">
        <f>'TABLA GENERAL'!D183</f>
        <v>210</v>
      </c>
      <c r="I158" s="114">
        <f t="shared" si="41"/>
        <v>11760</v>
      </c>
      <c r="J158" s="15">
        <v>0</v>
      </c>
      <c r="K158" s="60">
        <f t="shared" si="42"/>
        <v>0</v>
      </c>
      <c r="L158" s="15">
        <v>0</v>
      </c>
      <c r="M158" s="60">
        <f t="shared" si="50"/>
        <v>0</v>
      </c>
      <c r="N158" s="15">
        <v>0</v>
      </c>
      <c r="O158" s="60">
        <f t="shared" si="43"/>
        <v>0</v>
      </c>
      <c r="P158" s="15">
        <v>14</v>
      </c>
      <c r="Q158" s="60">
        <f t="shared" si="44"/>
        <v>2940</v>
      </c>
      <c r="R158" s="18">
        <f t="shared" si="51"/>
        <v>14</v>
      </c>
      <c r="S158" s="18">
        <f t="shared" si="51"/>
        <v>2940</v>
      </c>
      <c r="U158" s="336">
        <f t="shared" si="45"/>
        <v>0</v>
      </c>
      <c r="V158" s="336">
        <f t="shared" si="46"/>
        <v>0</v>
      </c>
      <c r="W158" s="336">
        <f t="shared" si="47"/>
        <v>0</v>
      </c>
      <c r="X158" s="336">
        <f t="shared" si="48"/>
        <v>0.25</v>
      </c>
      <c r="Y158" s="338">
        <f t="shared" si="49"/>
        <v>0.25</v>
      </c>
    </row>
    <row r="159" spans="1:25" ht="16.5" thickTop="1" thickBot="1" x14ac:dyDescent="0.3">
      <c r="A159" s="559" t="s">
        <v>473</v>
      </c>
      <c r="B159" s="551"/>
      <c r="C159" s="629"/>
      <c r="D159" s="630"/>
      <c r="E159" s="56" t="s">
        <v>510</v>
      </c>
      <c r="F159" s="32" t="s">
        <v>499</v>
      </c>
      <c r="G159" s="15">
        <v>9</v>
      </c>
      <c r="H159" s="59">
        <f>'TABLA GENERAL'!D184</f>
        <v>964.61538461538464</v>
      </c>
      <c r="I159" s="114">
        <f t="shared" si="41"/>
        <v>8681.538461538461</v>
      </c>
      <c r="J159" s="15">
        <v>0</v>
      </c>
      <c r="K159" s="60">
        <f t="shared" si="42"/>
        <v>0</v>
      </c>
      <c r="L159" s="15">
        <v>0</v>
      </c>
      <c r="M159" s="60">
        <f t="shared" si="50"/>
        <v>0</v>
      </c>
      <c r="N159" s="15">
        <v>0</v>
      </c>
      <c r="O159" s="60">
        <f t="shared" si="43"/>
        <v>0</v>
      </c>
      <c r="P159" s="15">
        <v>4</v>
      </c>
      <c r="Q159" s="60">
        <f t="shared" si="44"/>
        <v>3858.4615384615386</v>
      </c>
      <c r="R159" s="18">
        <f t="shared" si="51"/>
        <v>4</v>
      </c>
      <c r="S159" s="18">
        <f t="shared" si="51"/>
        <v>3858.4615384615386</v>
      </c>
      <c r="U159" s="336">
        <f t="shared" si="45"/>
        <v>0</v>
      </c>
      <c r="V159" s="336">
        <f t="shared" si="46"/>
        <v>0</v>
      </c>
      <c r="W159" s="336">
        <f t="shared" si="47"/>
        <v>0</v>
      </c>
      <c r="X159" s="336">
        <f t="shared" si="48"/>
        <v>0.44444444444444442</v>
      </c>
      <c r="Y159" s="338">
        <f t="shared" si="49"/>
        <v>0.44444444444444442</v>
      </c>
    </row>
    <row r="160" spans="1:25" ht="16.5" thickTop="1" thickBot="1" x14ac:dyDescent="0.3">
      <c r="A160" s="559" t="s">
        <v>473</v>
      </c>
      <c r="B160" s="551"/>
      <c r="C160" s="631"/>
      <c r="D160" s="632"/>
      <c r="E160" s="56" t="s">
        <v>111</v>
      </c>
      <c r="F160" s="32" t="s">
        <v>110</v>
      </c>
      <c r="G160" s="15">
        <v>4</v>
      </c>
      <c r="H160" s="59">
        <f>'TABLA GENERAL'!D185</f>
        <v>5572</v>
      </c>
      <c r="I160" s="114">
        <f t="shared" si="41"/>
        <v>22288</v>
      </c>
      <c r="J160" s="15">
        <v>0</v>
      </c>
      <c r="K160" s="60">
        <f t="shared" si="42"/>
        <v>0</v>
      </c>
      <c r="L160" s="15">
        <v>0</v>
      </c>
      <c r="M160" s="60">
        <f t="shared" si="50"/>
        <v>0</v>
      </c>
      <c r="N160" s="15">
        <v>0</v>
      </c>
      <c r="O160" s="60">
        <f t="shared" si="43"/>
        <v>0</v>
      </c>
      <c r="P160" s="15">
        <v>4</v>
      </c>
      <c r="Q160" s="60">
        <f t="shared" si="44"/>
        <v>22288</v>
      </c>
      <c r="R160" s="18">
        <f t="shared" si="51"/>
        <v>4</v>
      </c>
      <c r="S160" s="18">
        <f t="shared" si="51"/>
        <v>22288</v>
      </c>
      <c r="U160" s="336">
        <f t="shared" si="45"/>
        <v>0</v>
      </c>
      <c r="V160" s="336">
        <f t="shared" si="46"/>
        <v>0</v>
      </c>
      <c r="W160" s="336">
        <f t="shared" si="47"/>
        <v>0</v>
      </c>
      <c r="X160" s="336">
        <f t="shared" si="48"/>
        <v>1</v>
      </c>
      <c r="Y160" s="338">
        <f t="shared" si="49"/>
        <v>1</v>
      </c>
    </row>
    <row r="161" spans="1:25" ht="16.5" customHeight="1" thickTop="1" thickBot="1" x14ac:dyDescent="0.3">
      <c r="A161" s="559" t="s">
        <v>473</v>
      </c>
      <c r="B161" s="551"/>
      <c r="C161" s="633" t="s">
        <v>511</v>
      </c>
      <c r="D161" s="634"/>
      <c r="E161" s="56" t="s">
        <v>512</v>
      </c>
      <c r="F161" s="32" t="s">
        <v>513</v>
      </c>
      <c r="G161" s="15">
        <v>20</v>
      </c>
      <c r="H161" s="59">
        <f>'TABLA GENERAL'!D186</f>
        <v>1200</v>
      </c>
      <c r="I161" s="114">
        <f t="shared" si="41"/>
        <v>24000</v>
      </c>
      <c r="J161" s="15">
        <v>1</v>
      </c>
      <c r="K161" s="60">
        <f t="shared" si="42"/>
        <v>1200</v>
      </c>
      <c r="L161" s="15">
        <v>1</v>
      </c>
      <c r="M161" s="60">
        <f t="shared" si="50"/>
        <v>1200</v>
      </c>
      <c r="N161" s="15">
        <v>4</v>
      </c>
      <c r="O161" s="60">
        <f t="shared" si="43"/>
        <v>4800</v>
      </c>
      <c r="P161" s="15">
        <v>2</v>
      </c>
      <c r="Q161" s="60">
        <f t="shared" si="44"/>
        <v>2400</v>
      </c>
      <c r="R161" s="18">
        <f t="shared" si="51"/>
        <v>8</v>
      </c>
      <c r="S161" s="18">
        <f t="shared" si="51"/>
        <v>9600</v>
      </c>
      <c r="U161" s="336">
        <f t="shared" si="45"/>
        <v>0.05</v>
      </c>
      <c r="V161" s="336">
        <f t="shared" si="46"/>
        <v>0.05</v>
      </c>
      <c r="W161" s="336">
        <f t="shared" si="47"/>
        <v>0.2</v>
      </c>
      <c r="X161" s="336">
        <f t="shared" si="48"/>
        <v>0.1</v>
      </c>
      <c r="Y161" s="338">
        <f t="shared" si="49"/>
        <v>0.4</v>
      </c>
    </row>
    <row r="162" spans="1:25" ht="16.5" thickTop="1" thickBot="1" x14ac:dyDescent="0.3">
      <c r="A162" s="559" t="s">
        <v>473</v>
      </c>
      <c r="B162" s="551"/>
      <c r="C162" s="629"/>
      <c r="D162" s="630"/>
      <c r="E162" s="56" t="s">
        <v>105</v>
      </c>
      <c r="F162" s="32" t="s">
        <v>104</v>
      </c>
      <c r="G162" s="15">
        <v>1</v>
      </c>
      <c r="H162" s="59">
        <f>'TABLA GENERAL'!D187</f>
        <v>19274</v>
      </c>
      <c r="I162" s="114">
        <f t="shared" si="41"/>
        <v>19274</v>
      </c>
      <c r="J162" s="15">
        <v>0</v>
      </c>
      <c r="K162" s="60">
        <f t="shared" si="42"/>
        <v>0</v>
      </c>
      <c r="L162" s="15">
        <v>0</v>
      </c>
      <c r="M162" s="60">
        <f t="shared" si="50"/>
        <v>0</v>
      </c>
      <c r="N162" s="15">
        <v>0</v>
      </c>
      <c r="O162" s="60">
        <f t="shared" si="43"/>
        <v>0</v>
      </c>
      <c r="P162" s="15">
        <v>1</v>
      </c>
      <c r="Q162" s="60">
        <f t="shared" si="44"/>
        <v>19274</v>
      </c>
      <c r="R162" s="18">
        <f t="shared" si="51"/>
        <v>1</v>
      </c>
      <c r="S162" s="18">
        <f t="shared" si="51"/>
        <v>19274</v>
      </c>
      <c r="U162" s="336">
        <f t="shared" si="45"/>
        <v>0</v>
      </c>
      <c r="V162" s="336">
        <f t="shared" si="46"/>
        <v>0</v>
      </c>
      <c r="W162" s="336">
        <f t="shared" si="47"/>
        <v>0</v>
      </c>
      <c r="X162" s="336">
        <f t="shared" si="48"/>
        <v>1</v>
      </c>
      <c r="Y162" s="338">
        <f t="shared" si="49"/>
        <v>1</v>
      </c>
    </row>
    <row r="163" spans="1:25" ht="16.5" thickTop="1" thickBot="1" x14ac:dyDescent="0.3">
      <c r="A163" s="559"/>
      <c r="B163" s="551"/>
      <c r="C163" s="629"/>
      <c r="D163" s="630"/>
      <c r="E163" s="56" t="s">
        <v>103</v>
      </c>
      <c r="F163" s="32" t="s">
        <v>102</v>
      </c>
      <c r="G163" s="15">
        <v>13</v>
      </c>
      <c r="H163" s="59">
        <f>'TABLA GENERAL'!D173</f>
        <v>13144</v>
      </c>
      <c r="I163" s="114">
        <f t="shared" si="41"/>
        <v>170872</v>
      </c>
      <c r="J163" s="15">
        <v>0</v>
      </c>
      <c r="K163" s="60">
        <f t="shared" si="42"/>
        <v>0</v>
      </c>
      <c r="L163" s="15">
        <v>0</v>
      </c>
      <c r="M163" s="60">
        <f t="shared" si="50"/>
        <v>0</v>
      </c>
      <c r="N163" s="15">
        <v>0</v>
      </c>
      <c r="O163" s="60">
        <f t="shared" si="43"/>
        <v>0</v>
      </c>
      <c r="P163" s="15">
        <v>4</v>
      </c>
      <c r="Q163" s="60">
        <f t="shared" si="44"/>
        <v>52576</v>
      </c>
      <c r="R163" s="18">
        <f t="shared" si="51"/>
        <v>4</v>
      </c>
      <c r="S163" s="18">
        <f t="shared" si="51"/>
        <v>52576</v>
      </c>
      <c r="U163" s="336">
        <f t="shared" si="45"/>
        <v>0</v>
      </c>
      <c r="V163" s="336">
        <f t="shared" si="46"/>
        <v>0</v>
      </c>
      <c r="W163" s="336">
        <f t="shared" si="47"/>
        <v>0</v>
      </c>
      <c r="X163" s="336">
        <f t="shared" si="48"/>
        <v>0.30769230769230771</v>
      </c>
      <c r="Y163" s="338">
        <f t="shared" si="49"/>
        <v>0.30769230769230771</v>
      </c>
    </row>
    <row r="164" spans="1:25" ht="16.5" thickTop="1" thickBot="1" x14ac:dyDescent="0.3">
      <c r="A164" s="559"/>
      <c r="B164" s="551"/>
      <c r="C164" s="629"/>
      <c r="D164" s="630"/>
      <c r="E164" s="56" t="s">
        <v>101</v>
      </c>
      <c r="F164" s="32" t="s">
        <v>100</v>
      </c>
      <c r="G164" s="15">
        <v>4</v>
      </c>
      <c r="H164" s="59">
        <f>'TABLA GENERAL'!D174</f>
        <v>7500</v>
      </c>
      <c r="I164" s="114">
        <f t="shared" si="41"/>
        <v>30000</v>
      </c>
      <c r="J164" s="15">
        <v>0</v>
      </c>
      <c r="K164" s="60">
        <f t="shared" si="42"/>
        <v>0</v>
      </c>
      <c r="L164" s="15">
        <v>0</v>
      </c>
      <c r="M164" s="60">
        <f t="shared" si="50"/>
        <v>0</v>
      </c>
      <c r="N164" s="15">
        <v>0</v>
      </c>
      <c r="O164" s="60">
        <f t="shared" si="43"/>
        <v>0</v>
      </c>
      <c r="P164" s="15">
        <v>4</v>
      </c>
      <c r="Q164" s="60">
        <f t="shared" si="44"/>
        <v>30000</v>
      </c>
      <c r="R164" s="18">
        <f t="shared" si="51"/>
        <v>4</v>
      </c>
      <c r="S164" s="18">
        <f t="shared" si="51"/>
        <v>30000</v>
      </c>
      <c r="U164" s="336">
        <f t="shared" si="45"/>
        <v>0</v>
      </c>
      <c r="V164" s="336">
        <f t="shared" si="46"/>
        <v>0</v>
      </c>
      <c r="W164" s="336">
        <f t="shared" si="47"/>
        <v>0</v>
      </c>
      <c r="X164" s="336">
        <f t="shared" si="48"/>
        <v>1</v>
      </c>
      <c r="Y164" s="338">
        <f t="shared" si="49"/>
        <v>1</v>
      </c>
    </row>
    <row r="165" spans="1:25" ht="16.5" thickTop="1" thickBot="1" x14ac:dyDescent="0.3">
      <c r="A165" s="559"/>
      <c r="B165" s="551"/>
      <c r="C165" s="629"/>
      <c r="D165" s="630"/>
      <c r="E165" s="56" t="s">
        <v>99</v>
      </c>
      <c r="F165" s="32" t="s">
        <v>98</v>
      </c>
      <c r="G165" s="15">
        <v>1</v>
      </c>
      <c r="H165" s="59">
        <f>'TABLA GENERAL'!D175</f>
        <v>8750</v>
      </c>
      <c r="I165" s="114">
        <f t="shared" si="41"/>
        <v>8750</v>
      </c>
      <c r="J165" s="15">
        <v>0</v>
      </c>
      <c r="K165" s="60">
        <f t="shared" si="42"/>
        <v>0</v>
      </c>
      <c r="L165" s="15">
        <v>0</v>
      </c>
      <c r="M165" s="60">
        <f t="shared" si="50"/>
        <v>0</v>
      </c>
      <c r="N165" s="15">
        <v>0</v>
      </c>
      <c r="O165" s="60">
        <f t="shared" si="43"/>
        <v>0</v>
      </c>
      <c r="P165" s="15">
        <v>1</v>
      </c>
      <c r="Q165" s="60">
        <f t="shared" si="44"/>
        <v>8750</v>
      </c>
      <c r="R165" s="18">
        <f t="shared" si="51"/>
        <v>1</v>
      </c>
      <c r="S165" s="18">
        <f t="shared" si="51"/>
        <v>8750</v>
      </c>
      <c r="U165" s="336">
        <f t="shared" si="45"/>
        <v>0</v>
      </c>
      <c r="V165" s="336">
        <f t="shared" si="46"/>
        <v>0</v>
      </c>
      <c r="W165" s="336">
        <f t="shared" si="47"/>
        <v>0</v>
      </c>
      <c r="X165" s="336">
        <f t="shared" si="48"/>
        <v>1</v>
      </c>
      <c r="Y165" s="338">
        <f t="shared" si="49"/>
        <v>1</v>
      </c>
    </row>
    <row r="166" spans="1:25" ht="16.5" thickTop="1" thickBot="1" x14ac:dyDescent="0.3">
      <c r="A166" s="559" t="s">
        <v>473</v>
      </c>
      <c r="B166" s="551"/>
      <c r="C166" s="629"/>
      <c r="D166" s="630"/>
      <c r="E166" s="56" t="s">
        <v>514</v>
      </c>
      <c r="F166" s="32" t="s">
        <v>515</v>
      </c>
      <c r="G166" s="15">
        <v>5</v>
      </c>
      <c r="H166" s="59">
        <f>'TABLA GENERAL'!D188</f>
        <v>48</v>
      </c>
      <c r="I166" s="114">
        <f t="shared" si="41"/>
        <v>240</v>
      </c>
      <c r="J166" s="15">
        <v>0</v>
      </c>
      <c r="K166" s="60">
        <f t="shared" si="42"/>
        <v>0</v>
      </c>
      <c r="L166" s="15">
        <v>0</v>
      </c>
      <c r="M166" s="60">
        <f t="shared" si="50"/>
        <v>0</v>
      </c>
      <c r="N166" s="15">
        <v>0</v>
      </c>
      <c r="O166" s="60">
        <f t="shared" si="43"/>
        <v>0</v>
      </c>
      <c r="P166" s="15">
        <v>2</v>
      </c>
      <c r="Q166" s="60">
        <f t="shared" si="44"/>
        <v>96</v>
      </c>
      <c r="R166" s="18">
        <f t="shared" si="51"/>
        <v>2</v>
      </c>
      <c r="S166" s="18">
        <f t="shared" si="51"/>
        <v>96</v>
      </c>
      <c r="U166" s="336">
        <f t="shared" si="45"/>
        <v>0</v>
      </c>
      <c r="V166" s="336">
        <f t="shared" si="46"/>
        <v>0</v>
      </c>
      <c r="W166" s="336">
        <f t="shared" si="47"/>
        <v>0</v>
      </c>
      <c r="X166" s="336">
        <f t="shared" si="48"/>
        <v>0.4</v>
      </c>
      <c r="Y166" s="338">
        <f t="shared" si="49"/>
        <v>0.4</v>
      </c>
    </row>
    <row r="167" spans="1:25" ht="18" thickTop="1" thickBot="1" x14ac:dyDescent="0.3">
      <c r="A167" s="112"/>
      <c r="B167" s="112"/>
      <c r="C167" s="112"/>
      <c r="D167" s="112"/>
      <c r="E167" s="112"/>
      <c r="F167" s="112" t="s">
        <v>516</v>
      </c>
      <c r="G167" s="112"/>
      <c r="H167" s="112"/>
      <c r="I167" s="118">
        <f>SUM(I137:I166)</f>
        <v>1116775.5384615385</v>
      </c>
      <c r="J167" s="112"/>
      <c r="K167" s="119">
        <f>SUM(K137:K166)</f>
        <v>157098</v>
      </c>
      <c r="L167" s="112"/>
      <c r="M167" s="119">
        <f>SUM(M137:M166)</f>
        <v>72850</v>
      </c>
      <c r="N167" s="112"/>
      <c r="O167" s="119">
        <f>SUM(O137:O166)</f>
        <v>173710</v>
      </c>
      <c r="P167" s="112"/>
      <c r="Q167" s="119">
        <f>SUM(Q137:Q166)</f>
        <v>364266.4615384615</v>
      </c>
      <c r="R167" s="112">
        <f t="shared" si="51"/>
        <v>0</v>
      </c>
      <c r="S167" s="119">
        <f>Q167+O167+M167+K167</f>
        <v>767924.4615384615</v>
      </c>
      <c r="T167" s="14">
        <f>Q167+O167+M167+K167</f>
        <v>767924.4615384615</v>
      </c>
      <c r="U167" s="337">
        <f>AVERAGE(U137:U166)</f>
        <v>3.2206660441954561E-2</v>
      </c>
      <c r="V167" s="337">
        <f t="shared" ref="V167:Y167" si="52">AVERAGE(V137:V166)</f>
        <v>2.5332310568341607E-2</v>
      </c>
      <c r="W167" s="337">
        <f t="shared" si="52"/>
        <v>5.0967231203262235E-2</v>
      </c>
      <c r="X167" s="337">
        <f t="shared" si="52"/>
        <v>0.44791895471050497</v>
      </c>
      <c r="Y167" s="337">
        <f t="shared" si="52"/>
        <v>0.55642515692406347</v>
      </c>
    </row>
    <row r="168" spans="1:25" x14ac:dyDescent="0.25">
      <c r="U168" s="339">
        <f>+K167/I167</f>
        <v>0.14067106109470934</v>
      </c>
      <c r="V168" s="339">
        <f>+M167/I167</f>
        <v>6.5232445993899185E-2</v>
      </c>
      <c r="W168" s="339">
        <f>+O167/I167</f>
        <v>0.15554602873850693</v>
      </c>
      <c r="X168" s="339">
        <f>+Q167/I167</f>
        <v>0.32617697020859915</v>
      </c>
      <c r="Y168" s="339">
        <f>+S167/I167</f>
        <v>0.68762650603571462</v>
      </c>
    </row>
    <row r="169" spans="1:25" ht="15.75" thickBot="1" x14ac:dyDescent="0.3"/>
    <row r="170" spans="1:25" ht="47.25" customHeight="1" thickBot="1" x14ac:dyDescent="0.3">
      <c r="B170" s="195"/>
      <c r="C170" s="195"/>
      <c r="D170" s="195"/>
      <c r="E170" s="195"/>
      <c r="F170" s="617" t="s">
        <v>517</v>
      </c>
      <c r="G170" s="618"/>
      <c r="H170" s="618"/>
      <c r="I170" s="618"/>
      <c r="J170" s="618"/>
      <c r="K170" s="618"/>
      <c r="L170" s="618"/>
      <c r="M170" s="618"/>
      <c r="N170" s="618"/>
      <c r="O170" s="618"/>
      <c r="P170" s="618"/>
      <c r="Q170" s="618"/>
      <c r="R170" s="625" t="s">
        <v>227</v>
      </c>
      <c r="S170" s="626"/>
      <c r="Y170" s="328" t="s">
        <v>227</v>
      </c>
    </row>
    <row r="171" spans="1:25" ht="50.25" thickBot="1" x14ac:dyDescent="0.3">
      <c r="A171" s="314" t="s">
        <v>228</v>
      </c>
      <c r="B171" s="314"/>
      <c r="C171" s="314"/>
      <c r="D171" s="314"/>
      <c r="E171" s="314"/>
      <c r="F171" s="314" t="s">
        <v>85</v>
      </c>
      <c r="G171" s="314" t="s">
        <v>229</v>
      </c>
      <c r="H171" s="314" t="s">
        <v>123</v>
      </c>
      <c r="I171" s="113" t="s">
        <v>230</v>
      </c>
      <c r="J171" s="314">
        <v>2021</v>
      </c>
      <c r="K171" s="314" t="s">
        <v>79</v>
      </c>
      <c r="L171" s="314">
        <v>2022</v>
      </c>
      <c r="M171" s="314" t="s">
        <v>79</v>
      </c>
      <c r="N171" s="314">
        <v>2023</v>
      </c>
      <c r="O171" s="314" t="s">
        <v>79</v>
      </c>
      <c r="P171" s="314">
        <v>2025</v>
      </c>
      <c r="Q171" s="314" t="s">
        <v>79</v>
      </c>
      <c r="R171" s="314" t="s">
        <v>124</v>
      </c>
      <c r="S171" s="314" t="s">
        <v>77</v>
      </c>
      <c r="U171" s="335">
        <v>2021</v>
      </c>
      <c r="V171" s="335">
        <v>2022</v>
      </c>
      <c r="W171" s="335">
        <v>2023</v>
      </c>
      <c r="X171" s="335">
        <v>2025</v>
      </c>
      <c r="Y171" s="335" t="s">
        <v>124</v>
      </c>
    </row>
    <row r="172" spans="1:25" ht="16.5" customHeight="1" thickTop="1" thickBot="1" x14ac:dyDescent="0.3">
      <c r="A172" s="558" t="s">
        <v>517</v>
      </c>
      <c r="B172" s="550" t="s">
        <v>518</v>
      </c>
      <c r="C172" s="627" t="s">
        <v>519</v>
      </c>
      <c r="D172" s="628"/>
      <c r="E172" s="56" t="s">
        <v>520</v>
      </c>
      <c r="F172" s="48" t="s">
        <v>521</v>
      </c>
      <c r="G172" s="47">
        <v>130</v>
      </c>
      <c r="H172" s="72">
        <f>'TABLA GENERAL'!D196</f>
        <v>1753</v>
      </c>
      <c r="I172" s="114">
        <f>+H172*G172</f>
        <v>227890</v>
      </c>
      <c r="J172" s="51">
        <v>0</v>
      </c>
      <c r="K172" s="60">
        <f t="shared" ref="K172:K197" si="53">J172*H172</f>
        <v>0</v>
      </c>
      <c r="L172" s="51">
        <v>0</v>
      </c>
      <c r="M172" s="60">
        <f t="shared" ref="M172:M197" si="54">L172*H172</f>
        <v>0</v>
      </c>
      <c r="N172" s="51"/>
      <c r="O172" s="60">
        <f t="shared" ref="O172:O197" si="55">N172*H172</f>
        <v>0</v>
      </c>
      <c r="P172" s="51">
        <v>12</v>
      </c>
      <c r="Q172" s="60">
        <f t="shared" ref="Q172:Q197" si="56">P172*H172</f>
        <v>21036</v>
      </c>
      <c r="R172" s="18">
        <f t="shared" ref="R172:S187" si="57">P172+N172+L172+J172</f>
        <v>12</v>
      </c>
      <c r="S172" s="18">
        <f t="shared" si="57"/>
        <v>21036</v>
      </c>
      <c r="U172" s="336">
        <f t="shared" ref="U172" si="58">+J172/G172</f>
        <v>0</v>
      </c>
      <c r="V172" s="336">
        <f t="shared" ref="V172" si="59">+L172/G172</f>
        <v>0</v>
      </c>
      <c r="W172" s="336">
        <f t="shared" ref="W172" si="60">+N172/G172</f>
        <v>0</v>
      </c>
      <c r="X172" s="336">
        <f t="shared" ref="X172" si="61">+P172/G172</f>
        <v>9.2307692307692313E-2</v>
      </c>
      <c r="Y172" s="338">
        <f t="shared" ref="Y172" si="62">+R172/G172</f>
        <v>9.2307692307692313E-2</v>
      </c>
    </row>
    <row r="173" spans="1:25" ht="16.5" thickTop="1" thickBot="1" x14ac:dyDescent="0.3">
      <c r="A173" s="559" t="s">
        <v>517</v>
      </c>
      <c r="B173" s="551"/>
      <c r="C173" s="629"/>
      <c r="D173" s="630"/>
      <c r="E173" s="56" t="s">
        <v>125</v>
      </c>
      <c r="F173" s="32" t="s">
        <v>126</v>
      </c>
      <c r="G173" s="15">
        <v>1</v>
      </c>
      <c r="H173" s="59">
        <f>'TABLA GENERAL'!D198</f>
        <v>8540</v>
      </c>
      <c r="I173" s="114">
        <f t="shared" ref="I173:I196" si="63">+H173*G173</f>
        <v>8540</v>
      </c>
      <c r="J173" s="51">
        <v>0</v>
      </c>
      <c r="K173" s="60">
        <f t="shared" si="53"/>
        <v>0</v>
      </c>
      <c r="L173" s="15">
        <v>0</v>
      </c>
      <c r="M173" s="60">
        <f t="shared" si="54"/>
        <v>0</v>
      </c>
      <c r="N173" s="15"/>
      <c r="O173" s="60">
        <f t="shared" si="55"/>
        <v>0</v>
      </c>
      <c r="P173" s="15">
        <v>1</v>
      </c>
      <c r="Q173" s="60">
        <f t="shared" si="56"/>
        <v>8540</v>
      </c>
      <c r="R173" s="18">
        <f t="shared" si="57"/>
        <v>1</v>
      </c>
      <c r="S173" s="18">
        <f t="shared" si="57"/>
        <v>8540</v>
      </c>
      <c r="U173" s="336">
        <f t="shared" ref="U173:U197" si="64">+J173/G173</f>
        <v>0</v>
      </c>
      <c r="V173" s="336">
        <f t="shared" ref="V173:V197" si="65">+L173/G173</f>
        <v>0</v>
      </c>
      <c r="W173" s="336">
        <f t="shared" ref="W173:W197" si="66">+N173/G173</f>
        <v>0</v>
      </c>
      <c r="X173" s="336">
        <f t="shared" ref="X173:X197" si="67">+P173/G173</f>
        <v>1</v>
      </c>
      <c r="Y173" s="338">
        <f t="shared" ref="Y173:Y197" si="68">+R173/G173</f>
        <v>1</v>
      </c>
    </row>
    <row r="174" spans="1:25" ht="46.5" thickTop="1" thickBot="1" x14ac:dyDescent="0.3">
      <c r="A174" s="559" t="s">
        <v>517</v>
      </c>
      <c r="B174" s="551"/>
      <c r="C174" s="629"/>
      <c r="D174" s="630"/>
      <c r="E174" s="56" t="s">
        <v>128</v>
      </c>
      <c r="F174" s="32" t="s">
        <v>129</v>
      </c>
      <c r="G174" s="15">
        <v>2</v>
      </c>
      <c r="H174" s="59">
        <f>'TABLA GENERAL'!D199</f>
        <v>244998.75</v>
      </c>
      <c r="I174" s="114">
        <f t="shared" si="63"/>
        <v>489997.5</v>
      </c>
      <c r="J174" s="51">
        <v>0</v>
      </c>
      <c r="K174" s="60">
        <f t="shared" si="53"/>
        <v>0</v>
      </c>
      <c r="L174" s="15">
        <v>1</v>
      </c>
      <c r="M174" s="60">
        <f t="shared" si="54"/>
        <v>244998.75</v>
      </c>
      <c r="N174" s="15">
        <v>1</v>
      </c>
      <c r="O174" s="60">
        <f t="shared" si="55"/>
        <v>244998.75</v>
      </c>
      <c r="P174" s="15">
        <v>0</v>
      </c>
      <c r="Q174" s="60">
        <f t="shared" si="56"/>
        <v>0</v>
      </c>
      <c r="R174" s="18">
        <f t="shared" si="57"/>
        <v>2</v>
      </c>
      <c r="S174" s="18">
        <f t="shared" si="57"/>
        <v>489997.5</v>
      </c>
      <c r="U174" s="336">
        <f t="shared" si="64"/>
        <v>0</v>
      </c>
      <c r="V174" s="336">
        <f t="shared" si="65"/>
        <v>0.5</v>
      </c>
      <c r="W174" s="336">
        <f t="shared" si="66"/>
        <v>0.5</v>
      </c>
      <c r="X174" s="336">
        <f t="shared" si="67"/>
        <v>0</v>
      </c>
      <c r="Y174" s="338">
        <f t="shared" si="68"/>
        <v>1</v>
      </c>
    </row>
    <row r="175" spans="1:25" ht="31.5" thickTop="1" thickBot="1" x14ac:dyDescent="0.3">
      <c r="A175" s="559" t="s">
        <v>517</v>
      </c>
      <c r="B175" s="551"/>
      <c r="C175" s="629"/>
      <c r="D175" s="630"/>
      <c r="E175" s="56" t="s">
        <v>130</v>
      </c>
      <c r="F175" s="32" t="s">
        <v>131</v>
      </c>
      <c r="G175" s="15">
        <v>2</v>
      </c>
      <c r="H175" s="59">
        <f>'TABLA GENERAL'!D200</f>
        <v>54499</v>
      </c>
      <c r="I175" s="114">
        <f t="shared" si="63"/>
        <v>108998</v>
      </c>
      <c r="J175" s="51">
        <v>0</v>
      </c>
      <c r="K175" s="60">
        <f t="shared" si="53"/>
        <v>0</v>
      </c>
      <c r="L175" s="15">
        <v>0</v>
      </c>
      <c r="M175" s="60">
        <f t="shared" si="54"/>
        <v>0</v>
      </c>
      <c r="N175" s="15">
        <v>2</v>
      </c>
      <c r="O175" s="60">
        <f t="shared" si="55"/>
        <v>108998</v>
      </c>
      <c r="P175" s="15">
        <v>0</v>
      </c>
      <c r="Q175" s="60">
        <f t="shared" si="56"/>
        <v>0</v>
      </c>
      <c r="R175" s="18">
        <f t="shared" si="57"/>
        <v>2</v>
      </c>
      <c r="S175" s="18">
        <f t="shared" si="57"/>
        <v>108998</v>
      </c>
      <c r="U175" s="336">
        <f t="shared" si="64"/>
        <v>0</v>
      </c>
      <c r="V175" s="336">
        <f t="shared" si="65"/>
        <v>0</v>
      </c>
      <c r="W175" s="336">
        <f t="shared" si="66"/>
        <v>1</v>
      </c>
      <c r="X175" s="336">
        <f t="shared" si="67"/>
        <v>0</v>
      </c>
      <c r="Y175" s="338">
        <f t="shared" si="68"/>
        <v>1</v>
      </c>
    </row>
    <row r="176" spans="1:25" ht="49.5" customHeight="1" thickTop="1" thickBot="1" x14ac:dyDescent="0.3">
      <c r="A176" s="559" t="s">
        <v>517</v>
      </c>
      <c r="B176" s="551"/>
      <c r="C176" s="629"/>
      <c r="D176" s="630"/>
      <c r="E176" s="56" t="s">
        <v>132</v>
      </c>
      <c r="F176" s="32" t="s">
        <v>133</v>
      </c>
      <c r="G176" s="15">
        <v>4</v>
      </c>
      <c r="H176" s="59">
        <f>'TABLA GENERAL'!D201</f>
        <v>57249</v>
      </c>
      <c r="I176" s="114">
        <f t="shared" si="63"/>
        <v>228996</v>
      </c>
      <c r="J176" s="51">
        <v>0</v>
      </c>
      <c r="K176" s="60">
        <f t="shared" si="53"/>
        <v>0</v>
      </c>
      <c r="L176" s="15">
        <v>1</v>
      </c>
      <c r="M176" s="60">
        <f t="shared" si="54"/>
        <v>57249</v>
      </c>
      <c r="N176" s="15">
        <v>3</v>
      </c>
      <c r="O176" s="60">
        <f t="shared" si="55"/>
        <v>171747</v>
      </c>
      <c r="P176" s="15">
        <v>0</v>
      </c>
      <c r="Q176" s="60">
        <f t="shared" si="56"/>
        <v>0</v>
      </c>
      <c r="R176" s="18">
        <f t="shared" si="57"/>
        <v>4</v>
      </c>
      <c r="S176" s="18">
        <f t="shared" si="57"/>
        <v>228996</v>
      </c>
      <c r="U176" s="336">
        <f t="shared" si="64"/>
        <v>0</v>
      </c>
      <c r="V176" s="336">
        <f t="shared" si="65"/>
        <v>0.25</v>
      </c>
      <c r="W176" s="336">
        <f t="shared" si="66"/>
        <v>0.75</v>
      </c>
      <c r="X176" s="336">
        <f t="shared" si="67"/>
        <v>0</v>
      </c>
      <c r="Y176" s="338">
        <f t="shared" si="68"/>
        <v>1</v>
      </c>
    </row>
    <row r="177" spans="1:25" ht="31.5" thickTop="1" thickBot="1" x14ac:dyDescent="0.3">
      <c r="A177" s="559" t="s">
        <v>517</v>
      </c>
      <c r="B177" s="551"/>
      <c r="C177" s="629"/>
      <c r="D177" s="630"/>
      <c r="E177" s="56" t="s">
        <v>522</v>
      </c>
      <c r="F177" s="32" t="s">
        <v>523</v>
      </c>
      <c r="G177" s="15">
        <v>8</v>
      </c>
      <c r="H177" s="59">
        <f>'TABLA GENERAL'!D203</f>
        <v>710</v>
      </c>
      <c r="I177" s="114">
        <f t="shared" si="63"/>
        <v>5680</v>
      </c>
      <c r="J177" s="51">
        <v>0</v>
      </c>
      <c r="K177" s="60">
        <f t="shared" si="53"/>
        <v>0</v>
      </c>
      <c r="L177" s="15">
        <v>0</v>
      </c>
      <c r="M177" s="60">
        <f t="shared" si="54"/>
        <v>0</v>
      </c>
      <c r="N177" s="15">
        <v>0</v>
      </c>
      <c r="O177" s="60">
        <f t="shared" si="55"/>
        <v>0</v>
      </c>
      <c r="P177" s="15">
        <v>4</v>
      </c>
      <c r="Q177" s="60">
        <f t="shared" si="56"/>
        <v>2840</v>
      </c>
      <c r="R177" s="18">
        <f t="shared" si="57"/>
        <v>4</v>
      </c>
      <c r="S177" s="18">
        <f t="shared" si="57"/>
        <v>2840</v>
      </c>
      <c r="U177" s="336">
        <f t="shared" si="64"/>
        <v>0</v>
      </c>
      <c r="V177" s="336">
        <f t="shared" si="65"/>
        <v>0</v>
      </c>
      <c r="W177" s="336">
        <f t="shared" si="66"/>
        <v>0</v>
      </c>
      <c r="X177" s="336">
        <f t="shared" si="67"/>
        <v>0.5</v>
      </c>
      <c r="Y177" s="338">
        <f t="shared" si="68"/>
        <v>0.5</v>
      </c>
    </row>
    <row r="178" spans="1:25" ht="31.5" thickTop="1" thickBot="1" x14ac:dyDescent="0.3">
      <c r="A178" s="559" t="s">
        <v>517</v>
      </c>
      <c r="B178" s="551"/>
      <c r="C178" s="629"/>
      <c r="D178" s="630"/>
      <c r="E178" s="56" t="s">
        <v>524</v>
      </c>
      <c r="F178" s="32" t="s">
        <v>525</v>
      </c>
      <c r="G178" s="15">
        <v>8</v>
      </c>
      <c r="H178" s="59">
        <f>'TABLA GENERAL'!D204</f>
        <v>659.99</v>
      </c>
      <c r="I178" s="114">
        <f t="shared" si="63"/>
        <v>5279.92</v>
      </c>
      <c r="J178" s="51">
        <v>0</v>
      </c>
      <c r="K178" s="60">
        <f t="shared" si="53"/>
        <v>0</v>
      </c>
      <c r="L178" s="15">
        <v>2</v>
      </c>
      <c r="M178" s="60">
        <f t="shared" si="54"/>
        <v>1319.98</v>
      </c>
      <c r="N178" s="15">
        <v>0</v>
      </c>
      <c r="O178" s="60">
        <f t="shared" si="55"/>
        <v>0</v>
      </c>
      <c r="P178" s="15">
        <v>4</v>
      </c>
      <c r="Q178" s="60">
        <f t="shared" si="56"/>
        <v>2639.96</v>
      </c>
      <c r="R178" s="18">
        <f t="shared" si="57"/>
        <v>6</v>
      </c>
      <c r="S178" s="18">
        <f t="shared" si="57"/>
        <v>3959.94</v>
      </c>
      <c r="U178" s="336">
        <f t="shared" si="64"/>
        <v>0</v>
      </c>
      <c r="V178" s="336">
        <f t="shared" si="65"/>
        <v>0.25</v>
      </c>
      <c r="W178" s="336">
        <f t="shared" si="66"/>
        <v>0</v>
      </c>
      <c r="X178" s="336">
        <f t="shared" si="67"/>
        <v>0.5</v>
      </c>
      <c r="Y178" s="338">
        <f t="shared" si="68"/>
        <v>0.75</v>
      </c>
    </row>
    <row r="179" spans="1:25" ht="16.5" thickTop="1" thickBot="1" x14ac:dyDescent="0.3">
      <c r="A179" s="559" t="s">
        <v>517</v>
      </c>
      <c r="B179" s="551"/>
      <c r="C179" s="631"/>
      <c r="D179" s="632"/>
      <c r="E179" s="56" t="s">
        <v>526</v>
      </c>
      <c r="F179" s="32" t="s">
        <v>527</v>
      </c>
      <c r="G179" s="15">
        <v>45</v>
      </c>
      <c r="H179" s="59">
        <f>'TABLA GENERAL'!D205</f>
        <v>2410.9</v>
      </c>
      <c r="I179" s="114">
        <f t="shared" si="63"/>
        <v>108490.5</v>
      </c>
      <c r="J179" s="51">
        <v>0</v>
      </c>
      <c r="K179" s="60">
        <f t="shared" si="53"/>
        <v>0</v>
      </c>
      <c r="L179" s="15">
        <v>2</v>
      </c>
      <c r="M179" s="60">
        <f t="shared" si="54"/>
        <v>4821.8</v>
      </c>
      <c r="N179" s="15">
        <v>0</v>
      </c>
      <c r="O179" s="60">
        <f t="shared" si="55"/>
        <v>0</v>
      </c>
      <c r="P179" s="15">
        <v>0</v>
      </c>
      <c r="Q179" s="60">
        <f t="shared" si="56"/>
        <v>0</v>
      </c>
      <c r="R179" s="18">
        <f t="shared" si="57"/>
        <v>2</v>
      </c>
      <c r="S179" s="18">
        <f t="shared" si="57"/>
        <v>4821.8</v>
      </c>
      <c r="U179" s="336">
        <f t="shared" si="64"/>
        <v>0</v>
      </c>
      <c r="V179" s="336">
        <f t="shared" si="65"/>
        <v>4.4444444444444446E-2</v>
      </c>
      <c r="W179" s="336">
        <f t="shared" si="66"/>
        <v>0</v>
      </c>
      <c r="X179" s="336">
        <f t="shared" si="67"/>
        <v>0</v>
      </c>
      <c r="Y179" s="338">
        <f t="shared" si="68"/>
        <v>4.4444444444444446E-2</v>
      </c>
    </row>
    <row r="180" spans="1:25" ht="16.5" customHeight="1" thickTop="1" thickBot="1" x14ac:dyDescent="0.3">
      <c r="A180" s="559" t="s">
        <v>517</v>
      </c>
      <c r="B180" s="551"/>
      <c r="C180" s="633" t="s">
        <v>528</v>
      </c>
      <c r="D180" s="634"/>
      <c r="E180" s="56" t="s">
        <v>135</v>
      </c>
      <c r="F180" s="32" t="s">
        <v>136</v>
      </c>
      <c r="G180" s="15">
        <v>13</v>
      </c>
      <c r="H180" s="59">
        <f>'TABLA GENERAL'!D206</f>
        <v>11022</v>
      </c>
      <c r="I180" s="114">
        <f t="shared" si="63"/>
        <v>143286</v>
      </c>
      <c r="J180" s="51">
        <v>0</v>
      </c>
      <c r="K180" s="60">
        <f t="shared" si="53"/>
        <v>0</v>
      </c>
      <c r="L180" s="15">
        <v>0</v>
      </c>
      <c r="M180" s="60">
        <f t="shared" si="54"/>
        <v>0</v>
      </c>
      <c r="N180" s="15">
        <v>3</v>
      </c>
      <c r="O180" s="60">
        <f t="shared" si="55"/>
        <v>33066</v>
      </c>
      <c r="P180" s="15">
        <v>2</v>
      </c>
      <c r="Q180" s="60">
        <f t="shared" si="56"/>
        <v>22044</v>
      </c>
      <c r="R180" s="18">
        <f t="shared" si="57"/>
        <v>5</v>
      </c>
      <c r="S180" s="18">
        <f t="shared" si="57"/>
        <v>55110</v>
      </c>
      <c r="U180" s="336">
        <f t="shared" si="64"/>
        <v>0</v>
      </c>
      <c r="V180" s="336">
        <f t="shared" si="65"/>
        <v>0</v>
      </c>
      <c r="W180" s="336">
        <f t="shared" si="66"/>
        <v>0.23076923076923078</v>
      </c>
      <c r="X180" s="336">
        <f t="shared" si="67"/>
        <v>0.15384615384615385</v>
      </c>
      <c r="Y180" s="338">
        <f t="shared" si="68"/>
        <v>0.38461538461538464</v>
      </c>
    </row>
    <row r="181" spans="1:25" ht="31.5" thickTop="1" thickBot="1" x14ac:dyDescent="0.3">
      <c r="A181" s="559" t="s">
        <v>517</v>
      </c>
      <c r="B181" s="551"/>
      <c r="C181" s="629"/>
      <c r="D181" s="630"/>
      <c r="E181" s="56" t="s">
        <v>529</v>
      </c>
      <c r="F181" s="32" t="s">
        <v>530</v>
      </c>
      <c r="G181" s="15">
        <v>52</v>
      </c>
      <c r="H181" s="59">
        <f>'TABLA GENERAL'!D207</f>
        <v>2134</v>
      </c>
      <c r="I181" s="114">
        <f t="shared" si="63"/>
        <v>110968</v>
      </c>
      <c r="J181" s="51">
        <v>0</v>
      </c>
      <c r="K181" s="60">
        <f t="shared" si="53"/>
        <v>0</v>
      </c>
      <c r="L181" s="15">
        <v>2</v>
      </c>
      <c r="M181" s="60">
        <f t="shared" si="54"/>
        <v>4268</v>
      </c>
      <c r="N181" s="15">
        <v>0</v>
      </c>
      <c r="O181" s="60">
        <f t="shared" si="55"/>
        <v>0</v>
      </c>
      <c r="P181" s="15">
        <v>4</v>
      </c>
      <c r="Q181" s="60">
        <f t="shared" si="56"/>
        <v>8536</v>
      </c>
      <c r="R181" s="18">
        <f t="shared" si="57"/>
        <v>6</v>
      </c>
      <c r="S181" s="18">
        <f t="shared" si="57"/>
        <v>12804</v>
      </c>
      <c r="U181" s="336">
        <f t="shared" si="64"/>
        <v>0</v>
      </c>
      <c r="V181" s="336">
        <f t="shared" si="65"/>
        <v>3.8461538461538464E-2</v>
      </c>
      <c r="W181" s="336">
        <f t="shared" si="66"/>
        <v>0</v>
      </c>
      <c r="X181" s="336">
        <f t="shared" si="67"/>
        <v>7.6923076923076927E-2</v>
      </c>
      <c r="Y181" s="338">
        <f t="shared" si="68"/>
        <v>0.11538461538461539</v>
      </c>
    </row>
    <row r="182" spans="1:25" ht="16.5" thickTop="1" thickBot="1" x14ac:dyDescent="0.3">
      <c r="A182" s="559" t="s">
        <v>517</v>
      </c>
      <c r="B182" s="551"/>
      <c r="C182" s="629"/>
      <c r="D182" s="630"/>
      <c r="E182" s="56" t="s">
        <v>137</v>
      </c>
      <c r="F182" s="32" t="s">
        <v>138</v>
      </c>
      <c r="G182" s="15">
        <v>2</v>
      </c>
      <c r="H182" s="59">
        <f>'TABLA GENERAL'!D208</f>
        <v>250260</v>
      </c>
      <c r="I182" s="114">
        <f t="shared" si="63"/>
        <v>500520</v>
      </c>
      <c r="J182" s="51">
        <v>0</v>
      </c>
      <c r="K182" s="60">
        <f t="shared" si="53"/>
        <v>0</v>
      </c>
      <c r="L182" s="15">
        <v>0</v>
      </c>
      <c r="M182" s="60">
        <f t="shared" si="54"/>
        <v>0</v>
      </c>
      <c r="N182" s="15">
        <v>0</v>
      </c>
      <c r="O182" s="60">
        <f t="shared" si="55"/>
        <v>0</v>
      </c>
      <c r="P182" s="15">
        <v>1</v>
      </c>
      <c r="Q182" s="60">
        <f t="shared" si="56"/>
        <v>250260</v>
      </c>
      <c r="R182" s="18">
        <f t="shared" si="57"/>
        <v>1</v>
      </c>
      <c r="S182" s="18">
        <f t="shared" si="57"/>
        <v>250260</v>
      </c>
      <c r="U182" s="336">
        <f t="shared" si="64"/>
        <v>0</v>
      </c>
      <c r="V182" s="336">
        <f t="shared" si="65"/>
        <v>0</v>
      </c>
      <c r="W182" s="336">
        <f t="shared" si="66"/>
        <v>0</v>
      </c>
      <c r="X182" s="336">
        <f t="shared" si="67"/>
        <v>0.5</v>
      </c>
      <c r="Y182" s="338">
        <f t="shared" si="68"/>
        <v>0.5</v>
      </c>
    </row>
    <row r="183" spans="1:25" ht="16.5" thickTop="1" thickBot="1" x14ac:dyDescent="0.3">
      <c r="A183" s="559" t="s">
        <v>517</v>
      </c>
      <c r="B183" s="551"/>
      <c r="C183" s="629"/>
      <c r="D183" s="630"/>
      <c r="E183" s="56" t="s">
        <v>139</v>
      </c>
      <c r="F183" s="32" t="s">
        <v>140</v>
      </c>
      <c r="G183" s="15">
        <v>2</v>
      </c>
      <c r="H183" s="59">
        <f>'TABLA GENERAL'!D209</f>
        <v>75650</v>
      </c>
      <c r="I183" s="114">
        <f t="shared" si="63"/>
        <v>151300</v>
      </c>
      <c r="J183" s="51">
        <v>0</v>
      </c>
      <c r="K183" s="60">
        <f t="shared" si="53"/>
        <v>0</v>
      </c>
      <c r="L183" s="15">
        <v>0</v>
      </c>
      <c r="M183" s="60">
        <f t="shared" si="54"/>
        <v>0</v>
      </c>
      <c r="N183" s="15">
        <v>0</v>
      </c>
      <c r="O183" s="60">
        <f t="shared" si="55"/>
        <v>0</v>
      </c>
      <c r="P183" s="15">
        <v>1</v>
      </c>
      <c r="Q183" s="60">
        <f t="shared" si="56"/>
        <v>75650</v>
      </c>
      <c r="R183" s="18">
        <f t="shared" si="57"/>
        <v>1</v>
      </c>
      <c r="S183" s="18">
        <f t="shared" si="57"/>
        <v>75650</v>
      </c>
      <c r="U183" s="336">
        <f t="shared" si="64"/>
        <v>0</v>
      </c>
      <c r="V183" s="336">
        <f t="shared" si="65"/>
        <v>0</v>
      </c>
      <c r="W183" s="336">
        <f t="shared" si="66"/>
        <v>0</v>
      </c>
      <c r="X183" s="336">
        <f t="shared" si="67"/>
        <v>0.5</v>
      </c>
      <c r="Y183" s="338">
        <f t="shared" si="68"/>
        <v>0.5</v>
      </c>
    </row>
    <row r="184" spans="1:25" ht="16.5" thickTop="1" thickBot="1" x14ac:dyDescent="0.3">
      <c r="A184" s="559" t="s">
        <v>517</v>
      </c>
      <c r="B184" s="551"/>
      <c r="C184" s="629"/>
      <c r="D184" s="630"/>
      <c r="E184" s="56" t="s">
        <v>141</v>
      </c>
      <c r="F184" s="32" t="s">
        <v>142</v>
      </c>
      <c r="G184" s="15">
        <v>2</v>
      </c>
      <c r="H184" s="59">
        <f>'TABLA GENERAL'!D210</f>
        <v>181147</v>
      </c>
      <c r="I184" s="114">
        <f t="shared" si="63"/>
        <v>362294</v>
      </c>
      <c r="J184" s="51">
        <v>0</v>
      </c>
      <c r="K184" s="60">
        <f t="shared" si="53"/>
        <v>0</v>
      </c>
      <c r="L184" s="15">
        <v>0</v>
      </c>
      <c r="M184" s="60">
        <f t="shared" si="54"/>
        <v>0</v>
      </c>
      <c r="N184" s="15">
        <v>1</v>
      </c>
      <c r="O184" s="60">
        <f t="shared" si="55"/>
        <v>181147</v>
      </c>
      <c r="P184" s="15">
        <v>1</v>
      </c>
      <c r="Q184" s="60">
        <f t="shared" si="56"/>
        <v>181147</v>
      </c>
      <c r="R184" s="18">
        <f t="shared" si="57"/>
        <v>2</v>
      </c>
      <c r="S184" s="18">
        <f t="shared" si="57"/>
        <v>362294</v>
      </c>
      <c r="U184" s="336">
        <f t="shared" si="64"/>
        <v>0</v>
      </c>
      <c r="V184" s="336">
        <f t="shared" si="65"/>
        <v>0</v>
      </c>
      <c r="W184" s="336">
        <f t="shared" si="66"/>
        <v>0.5</v>
      </c>
      <c r="X184" s="336">
        <f t="shared" si="67"/>
        <v>0.5</v>
      </c>
      <c r="Y184" s="338">
        <f t="shared" si="68"/>
        <v>1</v>
      </c>
    </row>
    <row r="185" spans="1:25" ht="16.5" thickTop="1" thickBot="1" x14ac:dyDescent="0.3">
      <c r="A185" s="559" t="s">
        <v>517</v>
      </c>
      <c r="B185" s="551"/>
      <c r="C185" s="629"/>
      <c r="D185" s="630"/>
      <c r="E185" s="56" t="s">
        <v>143</v>
      </c>
      <c r="F185" s="32" t="s">
        <v>144</v>
      </c>
      <c r="G185" s="15">
        <v>6</v>
      </c>
      <c r="H185" s="59">
        <f>'TABLA GENERAL'!D211</f>
        <v>247000</v>
      </c>
      <c r="I185" s="114">
        <f t="shared" si="63"/>
        <v>1482000</v>
      </c>
      <c r="J185" s="51">
        <v>0</v>
      </c>
      <c r="K185" s="60">
        <f t="shared" si="53"/>
        <v>0</v>
      </c>
      <c r="L185" s="15">
        <v>0</v>
      </c>
      <c r="M185" s="60">
        <f t="shared" si="54"/>
        <v>0</v>
      </c>
      <c r="N185" s="15">
        <v>0</v>
      </c>
      <c r="O185" s="60">
        <f t="shared" si="55"/>
        <v>0</v>
      </c>
      <c r="P185" s="15">
        <v>2</v>
      </c>
      <c r="Q185" s="60">
        <f t="shared" si="56"/>
        <v>494000</v>
      </c>
      <c r="R185" s="18">
        <f t="shared" si="57"/>
        <v>2</v>
      </c>
      <c r="S185" s="18">
        <f t="shared" si="57"/>
        <v>494000</v>
      </c>
      <c r="U185" s="336">
        <f t="shared" si="64"/>
        <v>0</v>
      </c>
      <c r="V185" s="336">
        <f t="shared" si="65"/>
        <v>0</v>
      </c>
      <c r="W185" s="336">
        <f t="shared" si="66"/>
        <v>0</v>
      </c>
      <c r="X185" s="336">
        <f t="shared" si="67"/>
        <v>0.33333333333333331</v>
      </c>
      <c r="Y185" s="338">
        <f t="shared" si="68"/>
        <v>0.33333333333333331</v>
      </c>
    </row>
    <row r="186" spans="1:25" ht="16.5" thickTop="1" thickBot="1" x14ac:dyDescent="0.3">
      <c r="A186" s="559" t="s">
        <v>517</v>
      </c>
      <c r="B186" s="551"/>
      <c r="C186" s="629"/>
      <c r="D186" s="630"/>
      <c r="E186" s="56" t="s">
        <v>145</v>
      </c>
      <c r="F186" s="32" t="s">
        <v>146</v>
      </c>
      <c r="G186" s="15">
        <v>1</v>
      </c>
      <c r="H186" s="59">
        <f>'TABLA GENERAL'!D212</f>
        <v>12740</v>
      </c>
      <c r="I186" s="114">
        <f t="shared" si="63"/>
        <v>12740</v>
      </c>
      <c r="J186" s="51">
        <v>0</v>
      </c>
      <c r="K186" s="60">
        <f t="shared" si="53"/>
        <v>0</v>
      </c>
      <c r="L186" s="15">
        <v>0</v>
      </c>
      <c r="M186" s="60">
        <f t="shared" si="54"/>
        <v>0</v>
      </c>
      <c r="N186" s="15">
        <v>0</v>
      </c>
      <c r="O186" s="60">
        <f t="shared" si="55"/>
        <v>0</v>
      </c>
      <c r="P186" s="15">
        <v>1</v>
      </c>
      <c r="Q186" s="60">
        <f t="shared" si="56"/>
        <v>12740</v>
      </c>
      <c r="R186" s="18">
        <f t="shared" si="57"/>
        <v>1</v>
      </c>
      <c r="S186" s="18">
        <f t="shared" si="57"/>
        <v>12740</v>
      </c>
      <c r="U186" s="336">
        <f t="shared" si="64"/>
        <v>0</v>
      </c>
      <c r="V186" s="336">
        <f t="shared" si="65"/>
        <v>0</v>
      </c>
      <c r="W186" s="336">
        <f t="shared" si="66"/>
        <v>0</v>
      </c>
      <c r="X186" s="336">
        <f t="shared" si="67"/>
        <v>1</v>
      </c>
      <c r="Y186" s="338">
        <f t="shared" si="68"/>
        <v>1</v>
      </c>
    </row>
    <row r="187" spans="1:25" ht="16.5" thickTop="1" thickBot="1" x14ac:dyDescent="0.3">
      <c r="A187" s="559" t="s">
        <v>517</v>
      </c>
      <c r="B187" s="551"/>
      <c r="C187" s="629"/>
      <c r="D187" s="630"/>
      <c r="E187" s="56" t="s">
        <v>147</v>
      </c>
      <c r="F187" s="32" t="s">
        <v>148</v>
      </c>
      <c r="G187" s="15">
        <v>1</v>
      </c>
      <c r="H187" s="59">
        <f>'TABLA GENERAL'!D213</f>
        <v>24190</v>
      </c>
      <c r="I187" s="114">
        <f t="shared" si="63"/>
        <v>24190</v>
      </c>
      <c r="J187" s="51">
        <v>0</v>
      </c>
      <c r="K187" s="60">
        <f t="shared" si="53"/>
        <v>0</v>
      </c>
      <c r="L187" s="15">
        <v>0</v>
      </c>
      <c r="M187" s="60">
        <f t="shared" si="54"/>
        <v>0</v>
      </c>
      <c r="N187" s="15">
        <v>0</v>
      </c>
      <c r="O187" s="60">
        <f t="shared" si="55"/>
        <v>0</v>
      </c>
      <c r="P187" s="15">
        <v>1</v>
      </c>
      <c r="Q187" s="60">
        <f t="shared" si="56"/>
        <v>24190</v>
      </c>
      <c r="R187" s="18">
        <f t="shared" si="57"/>
        <v>1</v>
      </c>
      <c r="S187" s="18">
        <f t="shared" si="57"/>
        <v>24190</v>
      </c>
      <c r="U187" s="336">
        <f t="shared" si="64"/>
        <v>0</v>
      </c>
      <c r="V187" s="336">
        <f t="shared" si="65"/>
        <v>0</v>
      </c>
      <c r="W187" s="336">
        <f t="shared" si="66"/>
        <v>0</v>
      </c>
      <c r="X187" s="336">
        <f t="shared" si="67"/>
        <v>1</v>
      </c>
      <c r="Y187" s="338">
        <f t="shared" si="68"/>
        <v>1</v>
      </c>
    </row>
    <row r="188" spans="1:25" ht="16.5" thickTop="1" thickBot="1" x14ac:dyDescent="0.3">
      <c r="A188" s="559" t="s">
        <v>517</v>
      </c>
      <c r="B188" s="551"/>
      <c r="C188" s="629"/>
      <c r="D188" s="630"/>
      <c r="E188" s="56" t="s">
        <v>149</v>
      </c>
      <c r="F188" s="32" t="s">
        <v>150</v>
      </c>
      <c r="G188" s="15">
        <v>1</v>
      </c>
      <c r="H188" s="59">
        <f>'TABLA GENERAL'!D214</f>
        <v>61950</v>
      </c>
      <c r="I188" s="114">
        <f t="shared" si="63"/>
        <v>61950</v>
      </c>
      <c r="J188" s="51">
        <v>0</v>
      </c>
      <c r="K188" s="60">
        <f t="shared" si="53"/>
        <v>0</v>
      </c>
      <c r="L188" s="15">
        <v>0</v>
      </c>
      <c r="M188" s="60">
        <f t="shared" si="54"/>
        <v>0</v>
      </c>
      <c r="N188" s="15">
        <v>0</v>
      </c>
      <c r="O188" s="60">
        <f t="shared" si="55"/>
        <v>0</v>
      </c>
      <c r="P188" s="15">
        <v>1</v>
      </c>
      <c r="Q188" s="60">
        <f t="shared" si="56"/>
        <v>61950</v>
      </c>
      <c r="R188" s="18">
        <f t="shared" ref="R188:S198" si="69">P188+N188+L188+J188</f>
        <v>1</v>
      </c>
      <c r="S188" s="18">
        <f t="shared" si="69"/>
        <v>61950</v>
      </c>
      <c r="U188" s="336">
        <f t="shared" si="64"/>
        <v>0</v>
      </c>
      <c r="V188" s="336">
        <f t="shared" si="65"/>
        <v>0</v>
      </c>
      <c r="W188" s="336">
        <f t="shared" si="66"/>
        <v>0</v>
      </c>
      <c r="X188" s="336">
        <f t="shared" si="67"/>
        <v>1</v>
      </c>
      <c r="Y188" s="338">
        <f t="shared" si="68"/>
        <v>1</v>
      </c>
    </row>
    <row r="189" spans="1:25" ht="16.5" thickTop="1" thickBot="1" x14ac:dyDescent="0.3">
      <c r="A189" s="559" t="s">
        <v>517</v>
      </c>
      <c r="B189" s="551"/>
      <c r="C189" s="629"/>
      <c r="D189" s="630"/>
      <c r="E189" s="56" t="s">
        <v>151</v>
      </c>
      <c r="F189" s="32" t="s">
        <v>152</v>
      </c>
      <c r="G189" s="15">
        <v>3</v>
      </c>
      <c r="H189" s="59">
        <f>'TABLA GENERAL'!D215</f>
        <v>22080</v>
      </c>
      <c r="I189" s="114">
        <f t="shared" si="63"/>
        <v>66240</v>
      </c>
      <c r="J189" s="51">
        <v>0</v>
      </c>
      <c r="K189" s="60">
        <f t="shared" si="53"/>
        <v>0</v>
      </c>
      <c r="L189" s="15">
        <v>0</v>
      </c>
      <c r="M189" s="60">
        <f t="shared" si="54"/>
        <v>0</v>
      </c>
      <c r="N189" s="15">
        <v>0</v>
      </c>
      <c r="O189" s="60">
        <f t="shared" si="55"/>
        <v>0</v>
      </c>
      <c r="P189" s="15">
        <v>2</v>
      </c>
      <c r="Q189" s="60">
        <f t="shared" si="56"/>
        <v>44160</v>
      </c>
      <c r="R189" s="18">
        <f t="shared" si="69"/>
        <v>2</v>
      </c>
      <c r="S189" s="18">
        <f t="shared" si="69"/>
        <v>44160</v>
      </c>
      <c r="U189" s="336">
        <f t="shared" si="64"/>
        <v>0</v>
      </c>
      <c r="V189" s="336">
        <f t="shared" si="65"/>
        <v>0</v>
      </c>
      <c r="W189" s="336">
        <f t="shared" si="66"/>
        <v>0</v>
      </c>
      <c r="X189" s="336">
        <f t="shared" si="67"/>
        <v>0.66666666666666663</v>
      </c>
      <c r="Y189" s="338">
        <f t="shared" si="68"/>
        <v>0.66666666666666663</v>
      </c>
    </row>
    <row r="190" spans="1:25" ht="16.5" thickTop="1" thickBot="1" x14ac:dyDescent="0.3">
      <c r="A190" s="559" t="s">
        <v>517</v>
      </c>
      <c r="B190" s="551"/>
      <c r="C190" s="629"/>
      <c r="D190" s="630"/>
      <c r="E190" s="56" t="s">
        <v>153</v>
      </c>
      <c r="F190" s="32" t="s">
        <v>154</v>
      </c>
      <c r="G190" s="15">
        <v>1</v>
      </c>
      <c r="H190" s="59">
        <f>'TABLA GENERAL'!D216</f>
        <v>16630</v>
      </c>
      <c r="I190" s="114">
        <f t="shared" si="63"/>
        <v>16630</v>
      </c>
      <c r="J190" s="51">
        <v>0</v>
      </c>
      <c r="K190" s="60">
        <f t="shared" si="53"/>
        <v>0</v>
      </c>
      <c r="L190" s="15">
        <v>0</v>
      </c>
      <c r="M190" s="60">
        <f t="shared" si="54"/>
        <v>0</v>
      </c>
      <c r="N190" s="15">
        <v>0</v>
      </c>
      <c r="O190" s="60">
        <f t="shared" si="55"/>
        <v>0</v>
      </c>
      <c r="P190" s="15">
        <v>1</v>
      </c>
      <c r="Q190" s="60">
        <f t="shared" si="56"/>
        <v>16630</v>
      </c>
      <c r="R190" s="18">
        <f t="shared" si="69"/>
        <v>1</v>
      </c>
      <c r="S190" s="18">
        <f t="shared" si="69"/>
        <v>16630</v>
      </c>
      <c r="U190" s="336">
        <f t="shared" si="64"/>
        <v>0</v>
      </c>
      <c r="V190" s="336">
        <f t="shared" si="65"/>
        <v>0</v>
      </c>
      <c r="W190" s="336">
        <f t="shared" si="66"/>
        <v>0</v>
      </c>
      <c r="X190" s="336">
        <f t="shared" si="67"/>
        <v>1</v>
      </c>
      <c r="Y190" s="338">
        <f t="shared" si="68"/>
        <v>1</v>
      </c>
    </row>
    <row r="191" spans="1:25" ht="16.5" thickTop="1" thickBot="1" x14ac:dyDescent="0.3">
      <c r="A191" s="559" t="s">
        <v>517</v>
      </c>
      <c r="B191" s="551"/>
      <c r="C191" s="631"/>
      <c r="D191" s="632"/>
      <c r="E191" s="56" t="s">
        <v>155</v>
      </c>
      <c r="F191" s="32" t="s">
        <v>156</v>
      </c>
      <c r="G191" s="15">
        <v>1</v>
      </c>
      <c r="H191" s="59">
        <f>'TABLA GENERAL'!D217</f>
        <v>72745</v>
      </c>
      <c r="I191" s="114">
        <f t="shared" si="63"/>
        <v>72745</v>
      </c>
      <c r="J191" s="51">
        <v>0</v>
      </c>
      <c r="K191" s="60">
        <f t="shared" si="53"/>
        <v>0</v>
      </c>
      <c r="L191" s="15">
        <v>0</v>
      </c>
      <c r="M191" s="60">
        <f t="shared" si="54"/>
        <v>0</v>
      </c>
      <c r="N191" s="15">
        <v>0</v>
      </c>
      <c r="O191" s="60">
        <f t="shared" si="55"/>
        <v>0</v>
      </c>
      <c r="P191" s="15">
        <v>1</v>
      </c>
      <c r="Q191" s="60">
        <f t="shared" si="56"/>
        <v>72745</v>
      </c>
      <c r="R191" s="18">
        <f t="shared" si="69"/>
        <v>1</v>
      </c>
      <c r="S191" s="18">
        <f t="shared" si="69"/>
        <v>72745</v>
      </c>
      <c r="U191" s="336">
        <f t="shared" si="64"/>
        <v>0</v>
      </c>
      <c r="V191" s="336">
        <f t="shared" si="65"/>
        <v>0</v>
      </c>
      <c r="W191" s="336">
        <f t="shared" si="66"/>
        <v>0</v>
      </c>
      <c r="X191" s="336">
        <f t="shared" si="67"/>
        <v>1</v>
      </c>
      <c r="Y191" s="338">
        <f t="shared" si="68"/>
        <v>1</v>
      </c>
    </row>
    <row r="192" spans="1:25" ht="16.5" customHeight="1" thickTop="1" thickBot="1" x14ac:dyDescent="0.3">
      <c r="A192" s="559"/>
      <c r="B192" s="551"/>
      <c r="C192" s="633" t="s">
        <v>531</v>
      </c>
      <c r="D192" s="634"/>
      <c r="E192" s="56" t="s">
        <v>532</v>
      </c>
      <c r="F192" s="32" t="s">
        <v>533</v>
      </c>
      <c r="G192" s="15">
        <v>4</v>
      </c>
      <c r="H192" s="59">
        <v>1800</v>
      </c>
      <c r="I192" s="114">
        <f t="shared" si="63"/>
        <v>7200</v>
      </c>
      <c r="J192" s="51">
        <v>2</v>
      </c>
      <c r="K192" s="60">
        <f t="shared" si="53"/>
        <v>3600</v>
      </c>
      <c r="L192" s="15">
        <v>0</v>
      </c>
      <c r="M192" s="60">
        <f t="shared" si="54"/>
        <v>0</v>
      </c>
      <c r="N192" s="15">
        <v>2</v>
      </c>
      <c r="O192" s="60">
        <f t="shared" si="55"/>
        <v>3600</v>
      </c>
      <c r="P192" s="15">
        <v>0</v>
      </c>
      <c r="Q192" s="60">
        <f t="shared" si="56"/>
        <v>0</v>
      </c>
      <c r="R192" s="18">
        <f t="shared" si="69"/>
        <v>4</v>
      </c>
      <c r="S192" s="18">
        <f t="shared" si="69"/>
        <v>7200</v>
      </c>
      <c r="U192" s="336">
        <f t="shared" si="64"/>
        <v>0.5</v>
      </c>
      <c r="V192" s="336">
        <f t="shared" si="65"/>
        <v>0</v>
      </c>
      <c r="W192" s="336">
        <f t="shared" si="66"/>
        <v>0.5</v>
      </c>
      <c r="X192" s="336">
        <f t="shared" si="67"/>
        <v>0</v>
      </c>
      <c r="Y192" s="338">
        <f t="shared" si="68"/>
        <v>1</v>
      </c>
    </row>
    <row r="193" spans="1:25" ht="16.5" thickTop="1" thickBot="1" x14ac:dyDescent="0.3">
      <c r="A193" s="559" t="s">
        <v>517</v>
      </c>
      <c r="B193" s="551"/>
      <c r="C193" s="629"/>
      <c r="D193" s="630"/>
      <c r="E193" s="56" t="s">
        <v>157</v>
      </c>
      <c r="F193" s="32" t="s">
        <v>158</v>
      </c>
      <c r="G193" s="15">
        <v>2</v>
      </c>
      <c r="H193" s="59">
        <f>'TABLA GENERAL'!D218</f>
        <v>18224</v>
      </c>
      <c r="I193" s="114">
        <f t="shared" si="63"/>
        <v>36448</v>
      </c>
      <c r="J193" s="51">
        <v>0</v>
      </c>
      <c r="K193" s="60">
        <f t="shared" si="53"/>
        <v>0</v>
      </c>
      <c r="L193" s="15">
        <v>0</v>
      </c>
      <c r="M193" s="60">
        <f t="shared" si="54"/>
        <v>0</v>
      </c>
      <c r="N193" s="15">
        <v>0</v>
      </c>
      <c r="O193" s="60">
        <f t="shared" si="55"/>
        <v>0</v>
      </c>
      <c r="P193" s="15">
        <v>1</v>
      </c>
      <c r="Q193" s="60">
        <f t="shared" si="56"/>
        <v>18224</v>
      </c>
      <c r="R193" s="18">
        <f t="shared" si="69"/>
        <v>1</v>
      </c>
      <c r="S193" s="18">
        <f t="shared" si="69"/>
        <v>18224</v>
      </c>
      <c r="U193" s="336">
        <f t="shared" si="64"/>
        <v>0</v>
      </c>
      <c r="V193" s="336">
        <f t="shared" si="65"/>
        <v>0</v>
      </c>
      <c r="W193" s="336">
        <f t="shared" si="66"/>
        <v>0</v>
      </c>
      <c r="X193" s="336">
        <f t="shared" si="67"/>
        <v>0.5</v>
      </c>
      <c r="Y193" s="338">
        <f t="shared" si="68"/>
        <v>0.5</v>
      </c>
    </row>
    <row r="194" spans="1:25" ht="31.5" thickTop="1" thickBot="1" x14ac:dyDescent="0.3">
      <c r="A194" s="559" t="s">
        <v>517</v>
      </c>
      <c r="B194" s="551"/>
      <c r="C194" s="629"/>
      <c r="D194" s="630"/>
      <c r="E194" s="56" t="s">
        <v>159</v>
      </c>
      <c r="F194" s="32" t="s">
        <v>160</v>
      </c>
      <c r="G194" s="15">
        <v>2</v>
      </c>
      <c r="H194" s="59">
        <v>47215</v>
      </c>
      <c r="I194" s="114">
        <f t="shared" si="63"/>
        <v>94430</v>
      </c>
      <c r="J194" s="51">
        <v>0</v>
      </c>
      <c r="K194" s="60">
        <f t="shared" si="53"/>
        <v>0</v>
      </c>
      <c r="L194" s="15">
        <v>0</v>
      </c>
      <c r="M194" s="60">
        <f t="shared" si="54"/>
        <v>0</v>
      </c>
      <c r="N194" s="15">
        <v>0</v>
      </c>
      <c r="O194" s="60">
        <f t="shared" si="55"/>
        <v>0</v>
      </c>
      <c r="P194" s="15">
        <v>1</v>
      </c>
      <c r="Q194" s="60">
        <f t="shared" si="56"/>
        <v>47215</v>
      </c>
      <c r="R194" s="18">
        <f t="shared" si="69"/>
        <v>1</v>
      </c>
      <c r="S194" s="18">
        <f t="shared" si="69"/>
        <v>47215</v>
      </c>
      <c r="U194" s="336">
        <f t="shared" si="64"/>
        <v>0</v>
      </c>
      <c r="V194" s="336">
        <f t="shared" si="65"/>
        <v>0</v>
      </c>
      <c r="W194" s="336">
        <f t="shared" si="66"/>
        <v>0</v>
      </c>
      <c r="X194" s="336">
        <f t="shared" si="67"/>
        <v>0.5</v>
      </c>
      <c r="Y194" s="338">
        <f t="shared" si="68"/>
        <v>0.5</v>
      </c>
    </row>
    <row r="195" spans="1:25" ht="16.5" thickTop="1" thickBot="1" x14ac:dyDescent="0.3">
      <c r="A195" s="559" t="s">
        <v>517</v>
      </c>
      <c r="B195" s="551"/>
      <c r="C195" s="629"/>
      <c r="D195" s="630"/>
      <c r="E195" s="56" t="s">
        <v>161</v>
      </c>
      <c r="F195" s="32" t="s">
        <v>162</v>
      </c>
      <c r="G195" s="15">
        <v>3</v>
      </c>
      <c r="H195" s="59">
        <f>'TABLA GENERAL'!D220</f>
        <v>108900</v>
      </c>
      <c r="I195" s="114">
        <f t="shared" si="63"/>
        <v>326700</v>
      </c>
      <c r="J195" s="51">
        <v>0</v>
      </c>
      <c r="K195" s="60">
        <f t="shared" si="53"/>
        <v>0</v>
      </c>
      <c r="L195" s="15">
        <v>0</v>
      </c>
      <c r="M195" s="60">
        <f t="shared" si="54"/>
        <v>0</v>
      </c>
      <c r="N195" s="15">
        <v>0</v>
      </c>
      <c r="O195" s="60">
        <f t="shared" si="55"/>
        <v>0</v>
      </c>
      <c r="P195" s="15">
        <v>1</v>
      </c>
      <c r="Q195" s="60">
        <f t="shared" si="56"/>
        <v>108900</v>
      </c>
      <c r="R195" s="18">
        <f t="shared" si="69"/>
        <v>1</v>
      </c>
      <c r="S195" s="18">
        <f t="shared" si="69"/>
        <v>108900</v>
      </c>
      <c r="U195" s="336">
        <f t="shared" si="64"/>
        <v>0</v>
      </c>
      <c r="V195" s="336">
        <f t="shared" si="65"/>
        <v>0</v>
      </c>
      <c r="W195" s="336">
        <f t="shared" si="66"/>
        <v>0</v>
      </c>
      <c r="X195" s="336">
        <f t="shared" si="67"/>
        <v>0.33333333333333331</v>
      </c>
      <c r="Y195" s="338">
        <f t="shared" si="68"/>
        <v>0.33333333333333331</v>
      </c>
    </row>
    <row r="196" spans="1:25" ht="31.5" thickTop="1" thickBot="1" x14ac:dyDescent="0.3">
      <c r="A196" s="559" t="s">
        <v>517</v>
      </c>
      <c r="B196" s="551"/>
      <c r="C196" s="629"/>
      <c r="D196" s="630"/>
      <c r="E196" s="56" t="s">
        <v>163</v>
      </c>
      <c r="F196" s="32" t="s">
        <v>164</v>
      </c>
      <c r="G196" s="15">
        <v>4</v>
      </c>
      <c r="H196" s="59">
        <f>'TABLA GENERAL'!D221</f>
        <v>48964</v>
      </c>
      <c r="I196" s="114">
        <f t="shared" si="63"/>
        <v>195856</v>
      </c>
      <c r="J196" s="51">
        <v>0</v>
      </c>
      <c r="K196" s="60">
        <f t="shared" si="53"/>
        <v>0</v>
      </c>
      <c r="L196" s="15">
        <v>0</v>
      </c>
      <c r="M196" s="60">
        <f t="shared" si="54"/>
        <v>0</v>
      </c>
      <c r="N196" s="15">
        <v>0</v>
      </c>
      <c r="O196" s="60">
        <f t="shared" si="55"/>
        <v>0</v>
      </c>
      <c r="P196" s="15">
        <v>1</v>
      </c>
      <c r="Q196" s="60">
        <f t="shared" si="56"/>
        <v>48964</v>
      </c>
      <c r="R196" s="18">
        <f t="shared" si="69"/>
        <v>1</v>
      </c>
      <c r="S196" s="18">
        <f t="shared" si="69"/>
        <v>48964</v>
      </c>
      <c r="U196" s="336">
        <f t="shared" si="64"/>
        <v>0</v>
      </c>
      <c r="V196" s="336">
        <f t="shared" si="65"/>
        <v>0</v>
      </c>
      <c r="W196" s="336">
        <f t="shared" si="66"/>
        <v>0</v>
      </c>
      <c r="X196" s="336">
        <f t="shared" si="67"/>
        <v>0.25</v>
      </c>
      <c r="Y196" s="338">
        <f t="shared" si="68"/>
        <v>0.25</v>
      </c>
    </row>
    <row r="197" spans="1:25" ht="16.5" thickTop="1" thickBot="1" x14ac:dyDescent="0.3">
      <c r="A197" s="560" t="s">
        <v>517</v>
      </c>
      <c r="B197" s="552"/>
      <c r="C197" s="635"/>
      <c r="D197" s="636"/>
      <c r="E197" s="56" t="s">
        <v>165</v>
      </c>
      <c r="F197" s="57" t="s">
        <v>166</v>
      </c>
      <c r="G197" s="51">
        <v>2</v>
      </c>
      <c r="H197" s="59">
        <f>'TABLA GENERAL'!D222</f>
        <v>2692.3</v>
      </c>
      <c r="I197" s="114">
        <f>+H197*G197</f>
        <v>5384.6</v>
      </c>
      <c r="J197" s="51">
        <v>0</v>
      </c>
      <c r="K197" s="60">
        <f t="shared" si="53"/>
        <v>0</v>
      </c>
      <c r="L197" s="15">
        <v>0</v>
      </c>
      <c r="M197" s="60">
        <f t="shared" si="54"/>
        <v>0</v>
      </c>
      <c r="N197" s="51">
        <v>0</v>
      </c>
      <c r="O197" s="60">
        <f t="shared" si="55"/>
        <v>0</v>
      </c>
      <c r="P197" s="51">
        <v>1</v>
      </c>
      <c r="Q197" s="60">
        <f t="shared" si="56"/>
        <v>2692.3</v>
      </c>
      <c r="R197" s="18">
        <f t="shared" si="69"/>
        <v>1</v>
      </c>
      <c r="S197" s="18">
        <f t="shared" si="69"/>
        <v>2692.3</v>
      </c>
      <c r="U197" s="336">
        <f t="shared" si="64"/>
        <v>0</v>
      </c>
      <c r="V197" s="336">
        <f t="shared" si="65"/>
        <v>0</v>
      </c>
      <c r="W197" s="336">
        <f t="shared" si="66"/>
        <v>0</v>
      </c>
      <c r="X197" s="336">
        <f t="shared" si="67"/>
        <v>0.5</v>
      </c>
      <c r="Y197" s="338">
        <f t="shared" si="68"/>
        <v>0.5</v>
      </c>
    </row>
    <row r="198" spans="1:25" ht="17.25" thickBot="1" x14ac:dyDescent="0.3">
      <c r="A198" s="112"/>
      <c r="B198" s="112"/>
      <c r="C198" s="112"/>
      <c r="D198" s="112"/>
      <c r="E198" s="112"/>
      <c r="F198" s="112" t="s">
        <v>534</v>
      </c>
      <c r="G198" s="112"/>
      <c r="H198" s="112"/>
      <c r="I198" s="118">
        <f>SUM(I172:I197)</f>
        <v>4854753.5199999996</v>
      </c>
      <c r="J198" s="112"/>
      <c r="K198" s="119">
        <f>SUM(K172:K197)</f>
        <v>3600</v>
      </c>
      <c r="L198" s="112"/>
      <c r="M198" s="119">
        <f>SUM(M172:M197)</f>
        <v>312657.52999999997</v>
      </c>
      <c r="N198" s="112"/>
      <c r="O198" s="119">
        <f>SUM(O172:O197)</f>
        <v>743556.75</v>
      </c>
      <c r="P198" s="112"/>
      <c r="Q198" s="119">
        <f>SUM(Q172:Q197)</f>
        <v>1525103.26</v>
      </c>
      <c r="R198" s="112">
        <f t="shared" si="69"/>
        <v>0</v>
      </c>
      <c r="S198" s="119">
        <f t="shared" si="69"/>
        <v>2584917.5399999996</v>
      </c>
      <c r="T198" s="14">
        <f>Q198+O198+M198+K198</f>
        <v>2584917.5399999996</v>
      </c>
      <c r="U198" s="337">
        <f>AVERAGE(U172:U197)</f>
        <v>1.9230769230769232E-2</v>
      </c>
      <c r="V198" s="337">
        <f t="shared" ref="V198:Y198" si="70">AVERAGE(V172:V197)</f>
        <v>4.1650230111768577E-2</v>
      </c>
      <c r="W198" s="337">
        <f t="shared" si="70"/>
        <v>0.1338757396449704</v>
      </c>
      <c r="X198" s="337">
        <f t="shared" si="70"/>
        <v>0.45793885601577916</v>
      </c>
      <c r="Y198" s="337">
        <f t="shared" si="70"/>
        <v>0.65269559500328722</v>
      </c>
    </row>
    <row r="199" spans="1:25" ht="15.75" thickBot="1" x14ac:dyDescent="0.3">
      <c r="U199" s="342">
        <f>+K198/I198</f>
        <v>7.4154125130538044E-4</v>
      </c>
      <c r="V199" s="342">
        <f>+M198/I198</f>
        <v>6.440234889618042E-2</v>
      </c>
      <c r="W199" s="342">
        <f>+O198/I198</f>
        <v>0.15316055633654499</v>
      </c>
      <c r="X199" s="342">
        <f>+Q198/I198</f>
        <v>0.31414638327508748</v>
      </c>
      <c r="Y199" s="342">
        <f>+S198/I198</f>
        <v>0.53245082975911817</v>
      </c>
    </row>
    <row r="200" spans="1:25" ht="47.25" customHeight="1" thickBot="1" x14ac:dyDescent="0.3">
      <c r="B200" s="195"/>
      <c r="C200" s="195"/>
      <c r="D200" s="195"/>
      <c r="E200" s="195"/>
      <c r="F200" s="617" t="s">
        <v>535</v>
      </c>
      <c r="G200" s="618"/>
      <c r="H200" s="618"/>
      <c r="I200" s="618"/>
      <c r="J200" s="618"/>
      <c r="K200" s="618"/>
      <c r="L200" s="618"/>
      <c r="M200" s="618"/>
      <c r="N200" s="618"/>
      <c r="O200" s="618"/>
      <c r="P200" s="618"/>
      <c r="Q200" s="618"/>
      <c r="R200" s="584" t="s">
        <v>227</v>
      </c>
      <c r="S200" s="585"/>
      <c r="Y200" s="326" t="s">
        <v>227</v>
      </c>
    </row>
    <row r="201" spans="1:25" ht="50.25" customHeight="1" thickBot="1" x14ac:dyDescent="0.3">
      <c r="A201" s="314" t="s">
        <v>228</v>
      </c>
      <c r="B201" s="610" t="s">
        <v>536</v>
      </c>
      <c r="C201" s="622"/>
      <c r="D201" s="622"/>
      <c r="E201" s="125"/>
      <c r="F201" s="314" t="s">
        <v>85</v>
      </c>
      <c r="G201" s="314" t="s">
        <v>229</v>
      </c>
      <c r="H201" s="112" t="s">
        <v>123</v>
      </c>
      <c r="I201" s="118" t="s">
        <v>230</v>
      </c>
      <c r="J201" s="314">
        <v>2021</v>
      </c>
      <c r="K201" s="314" t="s">
        <v>79</v>
      </c>
      <c r="L201" s="314">
        <v>2022</v>
      </c>
      <c r="M201" s="314" t="s">
        <v>79</v>
      </c>
      <c r="N201" s="314">
        <v>2023</v>
      </c>
      <c r="O201" s="314" t="s">
        <v>79</v>
      </c>
      <c r="P201" s="314">
        <v>2025</v>
      </c>
      <c r="Q201" s="314" t="s">
        <v>79</v>
      </c>
      <c r="R201" s="314" t="s">
        <v>124</v>
      </c>
      <c r="S201" s="314" t="s">
        <v>77</v>
      </c>
      <c r="U201" s="335">
        <v>2021</v>
      </c>
      <c r="V201" s="335">
        <v>2022</v>
      </c>
      <c r="W201" s="335">
        <v>2023</v>
      </c>
      <c r="X201" s="335">
        <v>2025</v>
      </c>
      <c r="Y201" s="335" t="s">
        <v>124</v>
      </c>
    </row>
    <row r="202" spans="1:25" ht="42.75" customHeight="1" thickTop="1" thickBot="1" x14ac:dyDescent="0.3">
      <c r="A202" s="558" t="s">
        <v>535</v>
      </c>
      <c r="B202" s="612"/>
      <c r="C202" s="623"/>
      <c r="D202" s="623"/>
      <c r="E202" s="56" t="s">
        <v>168</v>
      </c>
      <c r="F202" s="48" t="s">
        <v>169</v>
      </c>
      <c r="G202" s="47">
        <v>8</v>
      </c>
      <c r="H202" s="72">
        <f>'TABLA GENERAL'!D227</f>
        <v>90850</v>
      </c>
      <c r="I202" s="114">
        <f>H202*G202</f>
        <v>726800</v>
      </c>
      <c r="J202" s="47">
        <v>3</v>
      </c>
      <c r="K202" s="60">
        <f t="shared" ref="K202:K211" si="71">J202*H202</f>
        <v>272550</v>
      </c>
      <c r="L202" s="47">
        <v>2</v>
      </c>
      <c r="M202" s="60">
        <f t="shared" ref="M202:M211" si="72">L202*H202</f>
        <v>181700</v>
      </c>
      <c r="N202" s="47">
        <v>0</v>
      </c>
      <c r="O202" s="60">
        <f t="shared" ref="O202:O211" si="73">N202*H202</f>
        <v>0</v>
      </c>
      <c r="P202" s="47">
        <v>0</v>
      </c>
      <c r="Q202" s="60">
        <f t="shared" ref="Q202:Q211" si="74">P202*H202</f>
        <v>0</v>
      </c>
      <c r="R202" s="18">
        <f t="shared" ref="R202:S212" si="75">P202+N202+L202+J202</f>
        <v>5</v>
      </c>
      <c r="S202" s="18">
        <f t="shared" si="75"/>
        <v>454250</v>
      </c>
      <c r="U202" s="336">
        <f t="shared" ref="U202" si="76">+J202/G202</f>
        <v>0.375</v>
      </c>
      <c r="V202" s="336">
        <f t="shared" ref="V202" si="77">+L202/G202</f>
        <v>0.25</v>
      </c>
      <c r="W202" s="336">
        <f t="shared" ref="W202" si="78">+N202/G202</f>
        <v>0</v>
      </c>
      <c r="X202" s="336">
        <f t="shared" ref="X202" si="79">+P202/G202</f>
        <v>0</v>
      </c>
      <c r="Y202" s="338">
        <f t="shared" ref="Y202" si="80">+R202/G202</f>
        <v>0.625</v>
      </c>
    </row>
    <row r="203" spans="1:25" ht="43.5" customHeight="1" thickTop="1" thickBot="1" x14ac:dyDescent="0.3">
      <c r="A203" s="559" t="s">
        <v>535</v>
      </c>
      <c r="B203" s="612"/>
      <c r="C203" s="623"/>
      <c r="D203" s="623"/>
      <c r="E203" s="56" t="s">
        <v>171</v>
      </c>
      <c r="F203" s="32" t="s">
        <v>172</v>
      </c>
      <c r="G203" s="15">
        <v>9</v>
      </c>
      <c r="H203" s="72">
        <f>'TABLA GENERAL'!D228</f>
        <v>4932</v>
      </c>
      <c r="I203" s="114">
        <f t="shared" ref="I203:I211" si="81">H203*G203</f>
        <v>44388</v>
      </c>
      <c r="J203" s="15">
        <v>3</v>
      </c>
      <c r="K203" s="60">
        <f t="shared" si="71"/>
        <v>14796</v>
      </c>
      <c r="L203" s="15">
        <v>4</v>
      </c>
      <c r="M203" s="60">
        <f t="shared" si="72"/>
        <v>19728</v>
      </c>
      <c r="N203" s="15">
        <v>0</v>
      </c>
      <c r="O203" s="60">
        <f t="shared" si="73"/>
        <v>0</v>
      </c>
      <c r="P203" s="15">
        <v>0</v>
      </c>
      <c r="Q203" s="60">
        <f t="shared" si="74"/>
        <v>0</v>
      </c>
      <c r="R203" s="18">
        <f t="shared" si="75"/>
        <v>7</v>
      </c>
      <c r="S203" s="18">
        <f t="shared" si="75"/>
        <v>34524</v>
      </c>
      <c r="U203" s="336">
        <f t="shared" ref="U203:U211" si="82">+J203/G203</f>
        <v>0.33333333333333331</v>
      </c>
      <c r="V203" s="336">
        <f t="shared" ref="V203:V211" si="83">+L203/G203</f>
        <v>0.44444444444444442</v>
      </c>
      <c r="W203" s="336">
        <f t="shared" ref="W203:W211" si="84">+N203/G203</f>
        <v>0</v>
      </c>
      <c r="X203" s="336">
        <f t="shared" ref="X203:X211" si="85">+P203/G203</f>
        <v>0</v>
      </c>
      <c r="Y203" s="338">
        <f t="shared" ref="Y203:Y211" si="86">+R203/G203</f>
        <v>0.77777777777777779</v>
      </c>
    </row>
    <row r="204" spans="1:25" ht="31.5" customHeight="1" thickTop="1" thickBot="1" x14ac:dyDescent="0.3">
      <c r="A204" s="559" t="s">
        <v>535</v>
      </c>
      <c r="B204" s="612"/>
      <c r="C204" s="623"/>
      <c r="D204" s="623"/>
      <c r="E204" s="56" t="s">
        <v>173</v>
      </c>
      <c r="F204" s="32" t="s">
        <v>174</v>
      </c>
      <c r="G204" s="15">
        <v>18</v>
      </c>
      <c r="H204" s="72">
        <f>'TABLA GENERAL'!D229</f>
        <v>92</v>
      </c>
      <c r="I204" s="114">
        <f t="shared" si="81"/>
        <v>1656</v>
      </c>
      <c r="J204" s="15">
        <v>6</v>
      </c>
      <c r="K204" s="60">
        <f t="shared" si="71"/>
        <v>552</v>
      </c>
      <c r="L204" s="15">
        <v>8</v>
      </c>
      <c r="M204" s="60">
        <f t="shared" si="72"/>
        <v>736</v>
      </c>
      <c r="N204" s="15">
        <v>0</v>
      </c>
      <c r="O204" s="60">
        <f t="shared" si="73"/>
        <v>0</v>
      </c>
      <c r="P204" s="15">
        <v>0</v>
      </c>
      <c r="Q204" s="60">
        <f t="shared" si="74"/>
        <v>0</v>
      </c>
      <c r="R204" s="18">
        <f t="shared" si="75"/>
        <v>14</v>
      </c>
      <c r="S204" s="18">
        <f t="shared" si="75"/>
        <v>1288</v>
      </c>
      <c r="U204" s="336">
        <f t="shared" si="82"/>
        <v>0.33333333333333331</v>
      </c>
      <c r="V204" s="336">
        <f t="shared" si="83"/>
        <v>0.44444444444444442</v>
      </c>
      <c r="W204" s="336">
        <f t="shared" si="84"/>
        <v>0</v>
      </c>
      <c r="X204" s="336">
        <f t="shared" si="85"/>
        <v>0</v>
      </c>
      <c r="Y204" s="338">
        <f t="shared" si="86"/>
        <v>0.77777777777777779</v>
      </c>
    </row>
    <row r="205" spans="1:25" ht="25.5" customHeight="1" thickTop="1" thickBot="1" x14ac:dyDescent="0.3">
      <c r="A205" s="559" t="s">
        <v>535</v>
      </c>
      <c r="B205" s="612"/>
      <c r="C205" s="623"/>
      <c r="D205" s="623"/>
      <c r="E205" s="56" t="s">
        <v>176</v>
      </c>
      <c r="F205" s="32" t="s">
        <v>177</v>
      </c>
      <c r="G205" s="15">
        <v>9</v>
      </c>
      <c r="H205" s="72">
        <f>'TABLA GENERAL'!D230</f>
        <v>65</v>
      </c>
      <c r="I205" s="114">
        <f t="shared" si="81"/>
        <v>585</v>
      </c>
      <c r="J205" s="15">
        <v>3</v>
      </c>
      <c r="K205" s="60">
        <f t="shared" si="71"/>
        <v>195</v>
      </c>
      <c r="L205" s="15">
        <v>4</v>
      </c>
      <c r="M205" s="60">
        <f t="shared" si="72"/>
        <v>260</v>
      </c>
      <c r="N205" s="15">
        <v>0</v>
      </c>
      <c r="O205" s="60">
        <f t="shared" si="73"/>
        <v>0</v>
      </c>
      <c r="P205" s="15">
        <v>0</v>
      </c>
      <c r="Q205" s="60">
        <f t="shared" si="74"/>
        <v>0</v>
      </c>
      <c r="R205" s="18">
        <f t="shared" si="75"/>
        <v>7</v>
      </c>
      <c r="S205" s="18">
        <f t="shared" si="75"/>
        <v>455</v>
      </c>
      <c r="U205" s="336">
        <f t="shared" si="82"/>
        <v>0.33333333333333331</v>
      </c>
      <c r="V205" s="336">
        <f t="shared" si="83"/>
        <v>0.44444444444444442</v>
      </c>
      <c r="W205" s="336">
        <f t="shared" si="84"/>
        <v>0</v>
      </c>
      <c r="X205" s="336">
        <f t="shared" si="85"/>
        <v>0</v>
      </c>
      <c r="Y205" s="338">
        <f t="shared" si="86"/>
        <v>0.77777777777777779</v>
      </c>
    </row>
    <row r="206" spans="1:25" ht="30" customHeight="1" thickTop="1" thickBot="1" x14ac:dyDescent="0.3">
      <c r="A206" s="559" t="s">
        <v>535</v>
      </c>
      <c r="B206" s="612"/>
      <c r="C206" s="623"/>
      <c r="D206" s="623"/>
      <c r="E206" s="56" t="s">
        <v>537</v>
      </c>
      <c r="F206" s="32" t="s">
        <v>538</v>
      </c>
      <c r="G206" s="15">
        <v>9</v>
      </c>
      <c r="H206" s="72">
        <f>'TABLA GENERAL'!D231</f>
        <v>2750</v>
      </c>
      <c r="I206" s="114">
        <f t="shared" si="81"/>
        <v>24750</v>
      </c>
      <c r="J206" s="15">
        <v>3</v>
      </c>
      <c r="K206" s="60">
        <f t="shared" si="71"/>
        <v>8250</v>
      </c>
      <c r="L206" s="15">
        <v>4</v>
      </c>
      <c r="M206" s="60">
        <f t="shared" si="72"/>
        <v>11000</v>
      </c>
      <c r="N206" s="15">
        <v>0</v>
      </c>
      <c r="O206" s="60">
        <f t="shared" si="73"/>
        <v>0</v>
      </c>
      <c r="P206" s="15">
        <v>0</v>
      </c>
      <c r="Q206" s="60">
        <f t="shared" si="74"/>
        <v>0</v>
      </c>
      <c r="R206" s="18">
        <f t="shared" si="75"/>
        <v>7</v>
      </c>
      <c r="S206" s="18">
        <f t="shared" si="75"/>
        <v>19250</v>
      </c>
      <c r="U206" s="336">
        <f t="shared" si="82"/>
        <v>0.33333333333333331</v>
      </c>
      <c r="V206" s="336">
        <f t="shared" si="83"/>
        <v>0.44444444444444442</v>
      </c>
      <c r="W206" s="336">
        <f t="shared" si="84"/>
        <v>0</v>
      </c>
      <c r="X206" s="336">
        <f t="shared" si="85"/>
        <v>0</v>
      </c>
      <c r="Y206" s="338">
        <f t="shared" si="86"/>
        <v>0.77777777777777779</v>
      </c>
    </row>
    <row r="207" spans="1:25" ht="40.5" customHeight="1" thickTop="1" thickBot="1" x14ac:dyDescent="0.3">
      <c r="A207" s="559" t="s">
        <v>535</v>
      </c>
      <c r="B207" s="612"/>
      <c r="C207" s="623"/>
      <c r="D207" s="623"/>
      <c r="E207" s="56" t="s">
        <v>539</v>
      </c>
      <c r="F207" s="32" t="s">
        <v>540</v>
      </c>
      <c r="G207" s="15">
        <v>9</v>
      </c>
      <c r="H207" s="72">
        <f>'TABLA GENERAL'!D232</f>
        <v>1240</v>
      </c>
      <c r="I207" s="114">
        <f t="shared" si="81"/>
        <v>11160</v>
      </c>
      <c r="J207" s="15">
        <v>3</v>
      </c>
      <c r="K207" s="60">
        <f t="shared" si="71"/>
        <v>3720</v>
      </c>
      <c r="L207" s="15">
        <v>4</v>
      </c>
      <c r="M207" s="60">
        <f t="shared" si="72"/>
        <v>4960</v>
      </c>
      <c r="N207" s="15">
        <v>0</v>
      </c>
      <c r="O207" s="60">
        <f t="shared" si="73"/>
        <v>0</v>
      </c>
      <c r="P207" s="15">
        <v>0</v>
      </c>
      <c r="Q207" s="60">
        <f t="shared" si="74"/>
        <v>0</v>
      </c>
      <c r="R207" s="18">
        <f t="shared" si="75"/>
        <v>7</v>
      </c>
      <c r="S207" s="18">
        <f t="shared" si="75"/>
        <v>8680</v>
      </c>
      <c r="U207" s="336">
        <f t="shared" si="82"/>
        <v>0.33333333333333331</v>
      </c>
      <c r="V207" s="336">
        <f t="shared" si="83"/>
        <v>0.44444444444444442</v>
      </c>
      <c r="W207" s="336">
        <f t="shared" si="84"/>
        <v>0</v>
      </c>
      <c r="X207" s="336">
        <f t="shared" si="85"/>
        <v>0</v>
      </c>
      <c r="Y207" s="338">
        <f t="shared" si="86"/>
        <v>0.77777777777777779</v>
      </c>
    </row>
    <row r="208" spans="1:25" ht="24.75" customHeight="1" thickTop="1" thickBot="1" x14ac:dyDescent="0.3">
      <c r="A208" s="559" t="s">
        <v>535</v>
      </c>
      <c r="B208" s="612"/>
      <c r="C208" s="623"/>
      <c r="D208" s="623"/>
      <c r="E208" s="56" t="s">
        <v>541</v>
      </c>
      <c r="F208" s="32" t="s">
        <v>542</v>
      </c>
      <c r="G208" s="15">
        <v>9</v>
      </c>
      <c r="H208" s="72">
        <f>'TABLA GENERAL'!D233</f>
        <v>62</v>
      </c>
      <c r="I208" s="114">
        <f t="shared" si="81"/>
        <v>558</v>
      </c>
      <c r="J208" s="15">
        <v>3</v>
      </c>
      <c r="K208" s="60">
        <f t="shared" si="71"/>
        <v>186</v>
      </c>
      <c r="L208" s="15">
        <v>4</v>
      </c>
      <c r="M208" s="60">
        <f t="shared" si="72"/>
        <v>248</v>
      </c>
      <c r="N208" s="15">
        <v>0</v>
      </c>
      <c r="O208" s="60">
        <f t="shared" si="73"/>
        <v>0</v>
      </c>
      <c r="P208" s="15">
        <v>0</v>
      </c>
      <c r="Q208" s="60">
        <f t="shared" si="74"/>
        <v>0</v>
      </c>
      <c r="R208" s="18">
        <f t="shared" si="75"/>
        <v>7</v>
      </c>
      <c r="S208" s="18">
        <f t="shared" si="75"/>
        <v>434</v>
      </c>
      <c r="U208" s="336">
        <f t="shared" si="82"/>
        <v>0.33333333333333331</v>
      </c>
      <c r="V208" s="336">
        <f t="shared" si="83"/>
        <v>0.44444444444444442</v>
      </c>
      <c r="W208" s="336">
        <f t="shared" si="84"/>
        <v>0</v>
      </c>
      <c r="X208" s="336">
        <f t="shared" si="85"/>
        <v>0</v>
      </c>
      <c r="Y208" s="338">
        <f t="shared" si="86"/>
        <v>0.77777777777777779</v>
      </c>
    </row>
    <row r="209" spans="1:25" ht="27" customHeight="1" thickTop="1" thickBot="1" x14ac:dyDescent="0.3">
      <c r="A209" s="559" t="s">
        <v>535</v>
      </c>
      <c r="B209" s="612"/>
      <c r="C209" s="623"/>
      <c r="D209" s="623"/>
      <c r="E209" s="56" t="s">
        <v>543</v>
      </c>
      <c r="F209" s="32" t="s">
        <v>544</v>
      </c>
      <c r="G209" s="15">
        <v>9</v>
      </c>
      <c r="H209" s="72">
        <f>'TABLA GENERAL'!D234</f>
        <v>65</v>
      </c>
      <c r="I209" s="114">
        <f t="shared" si="81"/>
        <v>585</v>
      </c>
      <c r="J209" s="15">
        <v>3</v>
      </c>
      <c r="K209" s="60">
        <f t="shared" si="71"/>
        <v>195</v>
      </c>
      <c r="L209" s="15">
        <v>4</v>
      </c>
      <c r="M209" s="60">
        <f t="shared" si="72"/>
        <v>260</v>
      </c>
      <c r="N209" s="15">
        <v>0</v>
      </c>
      <c r="O209" s="60">
        <f t="shared" si="73"/>
        <v>0</v>
      </c>
      <c r="P209" s="15">
        <v>0</v>
      </c>
      <c r="Q209" s="60">
        <f t="shared" si="74"/>
        <v>0</v>
      </c>
      <c r="R209" s="18">
        <f t="shared" si="75"/>
        <v>7</v>
      </c>
      <c r="S209" s="18">
        <f t="shared" si="75"/>
        <v>455</v>
      </c>
      <c r="U209" s="336">
        <f t="shared" si="82"/>
        <v>0.33333333333333331</v>
      </c>
      <c r="V209" s="336">
        <f t="shared" si="83"/>
        <v>0.44444444444444442</v>
      </c>
      <c r="W209" s="336">
        <f t="shared" si="84"/>
        <v>0</v>
      </c>
      <c r="X209" s="336">
        <f t="shared" si="85"/>
        <v>0</v>
      </c>
      <c r="Y209" s="338">
        <f t="shared" si="86"/>
        <v>0.77777777777777779</v>
      </c>
    </row>
    <row r="210" spans="1:25" ht="33.75" customHeight="1" thickTop="1" thickBot="1" x14ac:dyDescent="0.3">
      <c r="A210" s="559" t="s">
        <v>535</v>
      </c>
      <c r="B210" s="612"/>
      <c r="C210" s="623"/>
      <c r="D210" s="623"/>
      <c r="E210" s="56" t="s">
        <v>545</v>
      </c>
      <c r="F210" s="32" t="s">
        <v>546</v>
      </c>
      <c r="G210" s="15">
        <v>9</v>
      </c>
      <c r="H210" s="72">
        <f>'TABLA GENERAL'!D235</f>
        <v>500</v>
      </c>
      <c r="I210" s="114">
        <f t="shared" si="81"/>
        <v>4500</v>
      </c>
      <c r="J210" s="15">
        <v>3</v>
      </c>
      <c r="K210" s="60">
        <f t="shared" si="71"/>
        <v>1500</v>
      </c>
      <c r="L210" s="15">
        <v>4</v>
      </c>
      <c r="M210" s="60">
        <f t="shared" si="72"/>
        <v>2000</v>
      </c>
      <c r="N210" s="15">
        <v>0</v>
      </c>
      <c r="O210" s="60">
        <f t="shared" si="73"/>
        <v>0</v>
      </c>
      <c r="P210" s="15">
        <v>0</v>
      </c>
      <c r="Q210" s="60">
        <f t="shared" si="74"/>
        <v>0</v>
      </c>
      <c r="R210" s="18">
        <f t="shared" si="75"/>
        <v>7</v>
      </c>
      <c r="S210" s="18">
        <f t="shared" si="75"/>
        <v>3500</v>
      </c>
      <c r="U210" s="336">
        <f t="shared" si="82"/>
        <v>0.33333333333333331</v>
      </c>
      <c r="V210" s="336">
        <f t="shared" si="83"/>
        <v>0.44444444444444442</v>
      </c>
      <c r="W210" s="336">
        <f t="shared" si="84"/>
        <v>0</v>
      </c>
      <c r="X210" s="336">
        <f t="shared" si="85"/>
        <v>0</v>
      </c>
      <c r="Y210" s="338">
        <f t="shared" si="86"/>
        <v>0.77777777777777779</v>
      </c>
    </row>
    <row r="211" spans="1:25" ht="30" customHeight="1" thickTop="1" thickBot="1" x14ac:dyDescent="0.3">
      <c r="A211" s="560" t="s">
        <v>535</v>
      </c>
      <c r="B211" s="126"/>
      <c r="C211" s="127"/>
      <c r="D211" s="127"/>
      <c r="E211" s="56" t="s">
        <v>547</v>
      </c>
      <c r="F211" s="57" t="s">
        <v>548</v>
      </c>
      <c r="G211" s="51">
        <v>9</v>
      </c>
      <c r="H211" s="72">
        <f>'TABLA GENERAL'!D236</f>
        <v>218</v>
      </c>
      <c r="I211" s="114">
        <f t="shared" si="81"/>
        <v>1962</v>
      </c>
      <c r="J211" s="15">
        <v>3</v>
      </c>
      <c r="K211" s="60">
        <f t="shared" si="71"/>
        <v>654</v>
      </c>
      <c r="L211" s="51">
        <v>4</v>
      </c>
      <c r="M211" s="60">
        <f t="shared" si="72"/>
        <v>872</v>
      </c>
      <c r="N211" s="51">
        <v>0</v>
      </c>
      <c r="O211" s="60">
        <f t="shared" si="73"/>
        <v>0</v>
      </c>
      <c r="P211" s="51">
        <v>0</v>
      </c>
      <c r="Q211" s="60">
        <f t="shared" si="74"/>
        <v>0</v>
      </c>
      <c r="R211" s="18">
        <f t="shared" si="75"/>
        <v>7</v>
      </c>
      <c r="S211" s="18">
        <f t="shared" si="75"/>
        <v>1526</v>
      </c>
      <c r="U211" s="336">
        <f t="shared" si="82"/>
        <v>0.33333333333333331</v>
      </c>
      <c r="V211" s="336">
        <f t="shared" si="83"/>
        <v>0.44444444444444442</v>
      </c>
      <c r="W211" s="336">
        <f t="shared" si="84"/>
        <v>0</v>
      </c>
      <c r="X211" s="336">
        <f t="shared" si="85"/>
        <v>0</v>
      </c>
      <c r="Y211" s="338">
        <f t="shared" si="86"/>
        <v>0.77777777777777779</v>
      </c>
    </row>
    <row r="212" spans="1:25" ht="17.25" thickBot="1" x14ac:dyDescent="0.3">
      <c r="A212" s="112"/>
      <c r="B212" s="112"/>
      <c r="C212" s="112"/>
      <c r="D212" s="112"/>
      <c r="E212" s="112"/>
      <c r="F212" s="112" t="s">
        <v>549</v>
      </c>
      <c r="G212" s="112"/>
      <c r="H212" s="112"/>
      <c r="I212" s="118">
        <f>SUM(I202:I211)</f>
        <v>816944</v>
      </c>
      <c r="J212" s="112"/>
      <c r="K212" s="119">
        <f>SUM(K202:K211)</f>
        <v>302598</v>
      </c>
      <c r="L212" s="112"/>
      <c r="M212" s="119">
        <f>SUM(M202:M211)</f>
        <v>221764</v>
      </c>
      <c r="N212" s="112"/>
      <c r="O212" s="119">
        <f>SUM(O202:O211)</f>
        <v>0</v>
      </c>
      <c r="P212" s="112"/>
      <c r="Q212" s="119">
        <f>SUM(Q202:Q211)</f>
        <v>0</v>
      </c>
      <c r="R212" s="112">
        <f t="shared" si="75"/>
        <v>0</v>
      </c>
      <c r="S212" s="119">
        <f>Q212+O212+M212+K212</f>
        <v>524362</v>
      </c>
      <c r="T212" s="14">
        <f>Q212+O212+M212+K212</f>
        <v>524362</v>
      </c>
      <c r="U212" s="340">
        <f>AVERAGE(U202:U211)</f>
        <v>0.33750000000000002</v>
      </c>
      <c r="V212" s="340">
        <f t="shared" ref="V212:Y212" si="87">AVERAGE(V202:V211)</f>
        <v>0.4250000000000001</v>
      </c>
      <c r="W212" s="340">
        <f t="shared" si="87"/>
        <v>0</v>
      </c>
      <c r="X212" s="340">
        <f t="shared" si="87"/>
        <v>0</v>
      </c>
      <c r="Y212" s="340">
        <f t="shared" si="87"/>
        <v>0.76249999999999996</v>
      </c>
    </row>
    <row r="213" spans="1:25" ht="15.75" thickBot="1" x14ac:dyDescent="0.3">
      <c r="U213" s="342">
        <f>+K212/I212</f>
        <v>0.37040237764155193</v>
      </c>
      <c r="V213" s="342">
        <f>+M212/I212</f>
        <v>0.27145557100609097</v>
      </c>
      <c r="W213" s="342">
        <f>+O212/I212</f>
        <v>0</v>
      </c>
      <c r="X213" s="342">
        <f>+Q212/I212</f>
        <v>0</v>
      </c>
      <c r="Y213" s="342">
        <f>+S212/I212</f>
        <v>0.6418579486476429</v>
      </c>
    </row>
    <row r="214" spans="1:25" ht="47.25" customHeight="1" thickBot="1" x14ac:dyDescent="0.3">
      <c r="B214" s="195"/>
      <c r="C214" s="195"/>
      <c r="D214" s="195"/>
      <c r="E214" s="195"/>
      <c r="F214" s="617" t="s">
        <v>550</v>
      </c>
      <c r="G214" s="618"/>
      <c r="H214" s="618"/>
      <c r="I214" s="618"/>
      <c r="J214" s="618"/>
      <c r="K214" s="618"/>
      <c r="L214" s="618"/>
      <c r="M214" s="618"/>
      <c r="N214" s="618"/>
      <c r="O214" s="618"/>
      <c r="P214" s="618"/>
      <c r="Q214" s="618"/>
      <c r="R214" s="584" t="s">
        <v>227</v>
      </c>
      <c r="S214" s="585"/>
      <c r="Y214" s="326" t="s">
        <v>227</v>
      </c>
    </row>
    <row r="215" spans="1:25" ht="50.25" customHeight="1" thickBot="1" x14ac:dyDescent="0.3">
      <c r="A215" s="314" t="s">
        <v>228</v>
      </c>
      <c r="B215" s="597" t="s">
        <v>551</v>
      </c>
      <c r="C215" s="555"/>
      <c r="D215" s="555"/>
      <c r="E215" s="56"/>
      <c r="F215" s="314" t="s">
        <v>85</v>
      </c>
      <c r="G215" s="314" t="s">
        <v>229</v>
      </c>
      <c r="H215" s="112" t="s">
        <v>123</v>
      </c>
      <c r="I215" s="118" t="s">
        <v>230</v>
      </c>
      <c r="J215" s="314">
        <v>2021</v>
      </c>
      <c r="K215" s="314" t="s">
        <v>79</v>
      </c>
      <c r="L215" s="314">
        <v>2022</v>
      </c>
      <c r="M215" s="314" t="s">
        <v>79</v>
      </c>
      <c r="N215" s="314">
        <v>2023</v>
      </c>
      <c r="O215" s="314" t="s">
        <v>79</v>
      </c>
      <c r="P215" s="314">
        <v>2025</v>
      </c>
      <c r="Q215" s="314" t="s">
        <v>79</v>
      </c>
      <c r="R215" s="314" t="s">
        <v>124</v>
      </c>
      <c r="S215" s="314" t="s">
        <v>77</v>
      </c>
      <c r="U215" s="335">
        <v>2021</v>
      </c>
      <c r="V215" s="335">
        <v>2022</v>
      </c>
      <c r="W215" s="335">
        <v>2023</v>
      </c>
      <c r="X215" s="335">
        <v>2025</v>
      </c>
      <c r="Y215" s="335" t="s">
        <v>124</v>
      </c>
    </row>
    <row r="216" spans="1:25" ht="34.5" thickTop="1" thickBot="1" x14ac:dyDescent="0.3">
      <c r="A216" s="112" t="s">
        <v>552</v>
      </c>
      <c r="B216" s="604"/>
      <c r="C216" s="605"/>
      <c r="D216" s="605"/>
      <c r="E216" s="56" t="s">
        <v>181</v>
      </c>
      <c r="F216" s="93" t="s">
        <v>182</v>
      </c>
      <c r="G216" s="128">
        <v>30</v>
      </c>
      <c r="H216" s="94">
        <f>'TABLA GENERAL'!D241</f>
        <v>1000</v>
      </c>
      <c r="I216" s="129">
        <f>+H216*G216</f>
        <v>30000</v>
      </c>
      <c r="J216" s="95">
        <v>0</v>
      </c>
      <c r="K216" s="60">
        <f t="shared" ref="K216" si="88">J216*H216</f>
        <v>0</v>
      </c>
      <c r="L216" s="95">
        <v>0</v>
      </c>
      <c r="M216" s="60">
        <f t="shared" ref="M216" si="89">L216*H216</f>
        <v>0</v>
      </c>
      <c r="N216" s="95">
        <v>0</v>
      </c>
      <c r="O216" s="60">
        <f t="shared" ref="O216" si="90">N216*H216</f>
        <v>0</v>
      </c>
      <c r="P216" s="95">
        <v>5</v>
      </c>
      <c r="Q216" s="60">
        <f t="shared" ref="Q216" si="91">P216*H216</f>
        <v>5000</v>
      </c>
      <c r="R216">
        <f t="shared" ref="R216:S217" si="92">P216+N216+L216+J216</f>
        <v>5</v>
      </c>
      <c r="S216">
        <f t="shared" si="92"/>
        <v>5000</v>
      </c>
      <c r="U216" s="336">
        <f t="shared" ref="U216" si="93">+J216/G216</f>
        <v>0</v>
      </c>
      <c r="V216" s="336">
        <f t="shared" ref="V216" si="94">+L216/G216</f>
        <v>0</v>
      </c>
      <c r="W216" s="336">
        <f t="shared" ref="W216" si="95">+N216/G216</f>
        <v>0</v>
      </c>
      <c r="X216" s="336">
        <f t="shared" ref="X216" si="96">+P216/G216</f>
        <v>0.16666666666666666</v>
      </c>
      <c r="Y216" s="338">
        <f t="shared" ref="Y216" si="97">+R216/G216</f>
        <v>0.16666666666666666</v>
      </c>
    </row>
    <row r="217" spans="1:25" ht="17.25" thickBot="1" x14ac:dyDescent="0.3">
      <c r="A217" s="112"/>
      <c r="B217" s="607"/>
      <c r="C217" s="608"/>
      <c r="D217" s="608"/>
      <c r="E217" s="56"/>
      <c r="F217" s="112" t="s">
        <v>553</v>
      </c>
      <c r="G217" s="112"/>
      <c r="H217" s="112"/>
      <c r="I217" s="118">
        <f>+I216</f>
        <v>30000</v>
      </c>
      <c r="J217" s="112"/>
      <c r="K217" s="119">
        <f>SUM(K216)</f>
        <v>0</v>
      </c>
      <c r="L217" s="112"/>
      <c r="M217" s="119">
        <f>SUM(M216)</f>
        <v>0</v>
      </c>
      <c r="N217" s="112"/>
      <c r="O217" s="119">
        <f>SUM(O216)</f>
        <v>0</v>
      </c>
      <c r="P217" s="112"/>
      <c r="Q217" s="119">
        <f>SUM(Q216)</f>
        <v>5000</v>
      </c>
      <c r="R217" s="112">
        <f t="shared" si="92"/>
        <v>0</v>
      </c>
      <c r="S217" s="119">
        <f>Q217+O217+M217+K217</f>
        <v>5000</v>
      </c>
      <c r="T217" s="14">
        <f>Q217+O217+M217+K217</f>
        <v>5000</v>
      </c>
      <c r="U217" s="340">
        <f>+J216/G216</f>
        <v>0</v>
      </c>
      <c r="V217" s="340">
        <f>+L216/G216</f>
        <v>0</v>
      </c>
      <c r="W217" s="340">
        <f>+N216/G216</f>
        <v>0</v>
      </c>
      <c r="X217" s="340">
        <f>+P216/G216</f>
        <v>0.16666666666666666</v>
      </c>
      <c r="Y217" s="340">
        <f>+U217+V217+W217+X217</f>
        <v>0.16666666666666666</v>
      </c>
    </row>
    <row r="218" spans="1:25" ht="15.75" thickBot="1" x14ac:dyDescent="0.3">
      <c r="U218" s="342">
        <f>+K217/I217</f>
        <v>0</v>
      </c>
      <c r="V218" s="342">
        <f>+M217/I217</f>
        <v>0</v>
      </c>
      <c r="W218" s="342">
        <f>+O217/I217</f>
        <v>0</v>
      </c>
      <c r="X218" s="342">
        <f>+Q217/I217</f>
        <v>0.16666666666666666</v>
      </c>
      <c r="Y218" s="342">
        <f>+S217/I217</f>
        <v>0.16666666666666666</v>
      </c>
    </row>
    <row r="219" spans="1:25" ht="47.25" customHeight="1" thickBot="1" x14ac:dyDescent="0.3">
      <c r="B219" s="195"/>
      <c r="C219" s="195"/>
      <c r="D219" s="195"/>
      <c r="E219" s="195"/>
      <c r="F219" s="617" t="s">
        <v>554</v>
      </c>
      <c r="G219" s="618"/>
      <c r="H219" s="618"/>
      <c r="I219" s="618"/>
      <c r="J219" s="618"/>
      <c r="K219" s="618"/>
      <c r="L219" s="618"/>
      <c r="M219" s="618"/>
      <c r="N219" s="618"/>
      <c r="O219" s="618"/>
      <c r="P219" s="618"/>
      <c r="Q219" s="618"/>
      <c r="R219" s="584" t="s">
        <v>227</v>
      </c>
      <c r="S219" s="585"/>
      <c r="Y219" s="326" t="s">
        <v>227</v>
      </c>
    </row>
    <row r="220" spans="1:25" ht="50.25" customHeight="1" thickBot="1" x14ac:dyDescent="0.3">
      <c r="A220" s="314" t="s">
        <v>228</v>
      </c>
      <c r="B220" s="586" t="s">
        <v>555</v>
      </c>
      <c r="C220" s="587"/>
      <c r="D220" s="587"/>
      <c r="E220" s="130"/>
      <c r="F220" s="314" t="s">
        <v>85</v>
      </c>
      <c r="G220" s="314" t="s">
        <v>229</v>
      </c>
      <c r="H220" s="314" t="s">
        <v>123</v>
      </c>
      <c r="I220" s="113" t="s">
        <v>556</v>
      </c>
      <c r="J220" s="314">
        <v>2021</v>
      </c>
      <c r="K220" s="314" t="s">
        <v>79</v>
      </c>
      <c r="L220" s="314">
        <v>2022</v>
      </c>
      <c r="M220" s="314" t="s">
        <v>79</v>
      </c>
      <c r="N220" s="314">
        <v>2023</v>
      </c>
      <c r="O220" s="314" t="s">
        <v>79</v>
      </c>
      <c r="P220" s="314">
        <v>2025</v>
      </c>
      <c r="Q220" s="314" t="s">
        <v>79</v>
      </c>
      <c r="R220" s="314" t="s">
        <v>124</v>
      </c>
      <c r="S220" s="314" t="s">
        <v>77</v>
      </c>
      <c r="U220" s="335">
        <v>2021</v>
      </c>
      <c r="V220" s="335">
        <v>2022</v>
      </c>
      <c r="W220" s="335">
        <v>2023</v>
      </c>
      <c r="X220" s="335">
        <v>2025</v>
      </c>
      <c r="Y220" s="335" t="s">
        <v>124</v>
      </c>
    </row>
    <row r="221" spans="1:25" ht="16.5" customHeight="1" thickTop="1" thickBot="1" x14ac:dyDescent="0.3">
      <c r="A221" s="553" t="s">
        <v>554</v>
      </c>
      <c r="B221" s="616"/>
      <c r="C221" s="624"/>
      <c r="D221" s="624"/>
      <c r="E221" s="56" t="s">
        <v>187</v>
      </c>
      <c r="F221" s="48" t="s">
        <v>188</v>
      </c>
      <c r="G221" s="47">
        <v>9</v>
      </c>
      <c r="H221" s="72">
        <f>'TABLA GENERAL'!D246</f>
        <v>2856</v>
      </c>
      <c r="I221" s="114">
        <f>+G221*H221</f>
        <v>25704</v>
      </c>
      <c r="J221" s="47">
        <v>0</v>
      </c>
      <c r="K221" s="60">
        <f t="shared" ref="K221:K231" si="98">J221*H221</f>
        <v>0</v>
      </c>
      <c r="L221" s="47">
        <v>4</v>
      </c>
      <c r="M221" s="60">
        <f t="shared" ref="M221:M231" si="99">L221*H221</f>
        <v>11424</v>
      </c>
      <c r="N221" s="47">
        <v>0</v>
      </c>
      <c r="O221" s="60">
        <f t="shared" ref="O221:O231" si="100">N221*L221</f>
        <v>0</v>
      </c>
      <c r="P221" s="47">
        <v>0</v>
      </c>
      <c r="Q221" s="60">
        <f t="shared" ref="Q221:Q231" si="101">P221*H221</f>
        <v>0</v>
      </c>
      <c r="R221" s="18">
        <f t="shared" ref="R221:S232" si="102">P221+N221+L221+J221</f>
        <v>4</v>
      </c>
      <c r="S221" s="18">
        <f t="shared" si="102"/>
        <v>11424</v>
      </c>
      <c r="U221" s="336">
        <f t="shared" ref="U221" si="103">+J221/G221</f>
        <v>0</v>
      </c>
      <c r="V221" s="336">
        <f t="shared" ref="V221" si="104">+L221/G221</f>
        <v>0.44444444444444442</v>
      </c>
      <c r="W221" s="336">
        <f t="shared" ref="W221" si="105">+N221/G221</f>
        <v>0</v>
      </c>
      <c r="X221" s="336">
        <f t="shared" ref="X221" si="106">+P221/G221</f>
        <v>0</v>
      </c>
      <c r="Y221" s="338">
        <f t="shared" ref="Y221" si="107">+R221/G221</f>
        <v>0.44444444444444442</v>
      </c>
    </row>
    <row r="222" spans="1:25" ht="16.5" customHeight="1" thickTop="1" thickBot="1" x14ac:dyDescent="0.3">
      <c r="A222" s="554"/>
      <c r="B222" s="616"/>
      <c r="C222" s="624"/>
      <c r="D222" s="624"/>
      <c r="E222" s="56" t="s">
        <v>557</v>
      </c>
      <c r="F222" s="32" t="s">
        <v>558</v>
      </c>
      <c r="G222" s="15">
        <v>9</v>
      </c>
      <c r="H222" s="72">
        <f>'TABLA GENERAL'!D247</f>
        <v>458.39</v>
      </c>
      <c r="I222" s="114">
        <f t="shared" ref="I222:I231" si="108">+G222*H222</f>
        <v>4125.51</v>
      </c>
      <c r="J222" s="47">
        <v>0</v>
      </c>
      <c r="K222" s="60">
        <f t="shared" si="98"/>
        <v>0</v>
      </c>
      <c r="L222" s="15">
        <v>4</v>
      </c>
      <c r="M222" s="60">
        <f t="shared" si="99"/>
        <v>1833.56</v>
      </c>
      <c r="N222" s="15">
        <v>0</v>
      </c>
      <c r="O222" s="60">
        <f t="shared" si="100"/>
        <v>0</v>
      </c>
      <c r="P222" s="15">
        <v>0</v>
      </c>
      <c r="Q222" s="60">
        <f t="shared" si="101"/>
        <v>0</v>
      </c>
      <c r="R222" s="18">
        <f t="shared" si="102"/>
        <v>4</v>
      </c>
      <c r="S222" s="18">
        <f t="shared" si="102"/>
        <v>1833.56</v>
      </c>
      <c r="U222" s="336">
        <f t="shared" ref="U222:U231" si="109">+J222/G222</f>
        <v>0</v>
      </c>
      <c r="V222" s="336">
        <f t="shared" ref="V222:V231" si="110">+L222/G222</f>
        <v>0.44444444444444442</v>
      </c>
      <c r="W222" s="336">
        <f t="shared" ref="W222:W231" si="111">+N222/G222</f>
        <v>0</v>
      </c>
      <c r="X222" s="336">
        <f t="shared" ref="X222:X231" si="112">+P222/G222</f>
        <v>0</v>
      </c>
      <c r="Y222" s="338">
        <f t="shared" ref="Y222:Y231" si="113">+R222/G222</f>
        <v>0.44444444444444442</v>
      </c>
    </row>
    <row r="223" spans="1:25" ht="16.5" customHeight="1" thickTop="1" thickBot="1" x14ac:dyDescent="0.3">
      <c r="A223" s="554"/>
      <c r="B223" s="616"/>
      <c r="C223" s="624"/>
      <c r="D223" s="624"/>
      <c r="E223" s="56" t="s">
        <v>559</v>
      </c>
      <c r="F223" s="32" t="s">
        <v>560</v>
      </c>
      <c r="G223" s="15">
        <v>9</v>
      </c>
      <c r="H223" s="72">
        <f>'TABLA GENERAL'!D248</f>
        <v>2562</v>
      </c>
      <c r="I223" s="114">
        <f t="shared" si="108"/>
        <v>23058</v>
      </c>
      <c r="J223" s="47">
        <v>0</v>
      </c>
      <c r="K223" s="60">
        <f t="shared" si="98"/>
        <v>0</v>
      </c>
      <c r="L223" s="15">
        <v>4</v>
      </c>
      <c r="M223" s="60">
        <f t="shared" si="99"/>
        <v>10248</v>
      </c>
      <c r="N223" s="15">
        <v>0</v>
      </c>
      <c r="O223" s="60">
        <f t="shared" si="100"/>
        <v>0</v>
      </c>
      <c r="P223" s="15">
        <v>0</v>
      </c>
      <c r="Q223" s="60">
        <f t="shared" si="101"/>
        <v>0</v>
      </c>
      <c r="R223" s="18">
        <f t="shared" si="102"/>
        <v>4</v>
      </c>
      <c r="S223" s="18">
        <f t="shared" si="102"/>
        <v>10248</v>
      </c>
      <c r="U223" s="336">
        <f t="shared" si="109"/>
        <v>0</v>
      </c>
      <c r="V223" s="336">
        <f t="shared" si="110"/>
        <v>0.44444444444444442</v>
      </c>
      <c r="W223" s="336">
        <f t="shared" si="111"/>
        <v>0</v>
      </c>
      <c r="X223" s="336">
        <f t="shared" si="112"/>
        <v>0</v>
      </c>
      <c r="Y223" s="338">
        <f t="shared" si="113"/>
        <v>0.44444444444444442</v>
      </c>
    </row>
    <row r="224" spans="1:25" ht="16.5" customHeight="1" thickTop="1" thickBot="1" x14ac:dyDescent="0.3">
      <c r="A224" s="554"/>
      <c r="B224" s="616"/>
      <c r="C224" s="624"/>
      <c r="D224" s="624"/>
      <c r="E224" s="56" t="s">
        <v>190</v>
      </c>
      <c r="F224" s="32" t="s">
        <v>191</v>
      </c>
      <c r="G224" s="15">
        <v>5</v>
      </c>
      <c r="H224" s="72">
        <f>'TABLA GENERAL'!D249</f>
        <v>9040</v>
      </c>
      <c r="I224" s="114">
        <f t="shared" si="108"/>
        <v>45200</v>
      </c>
      <c r="J224" s="47">
        <v>0</v>
      </c>
      <c r="K224" s="60">
        <f t="shared" si="98"/>
        <v>0</v>
      </c>
      <c r="L224" s="15">
        <v>5</v>
      </c>
      <c r="M224" s="60">
        <f t="shared" si="99"/>
        <v>45200</v>
      </c>
      <c r="N224" s="15">
        <v>0</v>
      </c>
      <c r="O224" s="60">
        <f t="shared" si="100"/>
        <v>0</v>
      </c>
      <c r="P224" s="15">
        <v>0</v>
      </c>
      <c r="Q224" s="60">
        <f t="shared" si="101"/>
        <v>0</v>
      </c>
      <c r="R224" s="18">
        <f t="shared" si="102"/>
        <v>5</v>
      </c>
      <c r="S224" s="18">
        <f t="shared" si="102"/>
        <v>45200</v>
      </c>
      <c r="U224" s="336">
        <f t="shared" si="109"/>
        <v>0</v>
      </c>
      <c r="V224" s="336">
        <f t="shared" si="110"/>
        <v>1</v>
      </c>
      <c r="W224" s="336">
        <f t="shared" si="111"/>
        <v>0</v>
      </c>
      <c r="X224" s="336">
        <f t="shared" si="112"/>
        <v>0</v>
      </c>
      <c r="Y224" s="338">
        <f t="shared" si="113"/>
        <v>1</v>
      </c>
    </row>
    <row r="225" spans="1:25" ht="16.5" customHeight="1" thickTop="1" thickBot="1" x14ac:dyDescent="0.3">
      <c r="A225" s="554"/>
      <c r="B225" s="616"/>
      <c r="C225" s="624"/>
      <c r="D225" s="624"/>
      <c r="E225" s="56" t="s">
        <v>561</v>
      </c>
      <c r="F225" s="32" t="s">
        <v>562</v>
      </c>
      <c r="G225" s="15">
        <v>9</v>
      </c>
      <c r="H225" s="72">
        <f>'TABLA GENERAL'!D250</f>
        <v>709</v>
      </c>
      <c r="I225" s="114">
        <f t="shared" si="108"/>
        <v>6381</v>
      </c>
      <c r="J225" s="47">
        <v>0</v>
      </c>
      <c r="K225" s="60">
        <f t="shared" si="98"/>
        <v>0</v>
      </c>
      <c r="L225" s="15">
        <v>4</v>
      </c>
      <c r="M225" s="60">
        <f t="shared" si="99"/>
        <v>2836</v>
      </c>
      <c r="N225" s="15">
        <v>0</v>
      </c>
      <c r="O225" s="60">
        <f t="shared" si="100"/>
        <v>0</v>
      </c>
      <c r="P225" s="15">
        <v>0</v>
      </c>
      <c r="Q225" s="60">
        <f t="shared" si="101"/>
        <v>0</v>
      </c>
      <c r="R225" s="18">
        <f t="shared" si="102"/>
        <v>4</v>
      </c>
      <c r="S225" s="18">
        <f t="shared" si="102"/>
        <v>2836</v>
      </c>
      <c r="U225" s="336">
        <f t="shared" si="109"/>
        <v>0</v>
      </c>
      <c r="V225" s="336">
        <f t="shared" si="110"/>
        <v>0.44444444444444442</v>
      </c>
      <c r="W225" s="336">
        <f t="shared" si="111"/>
        <v>0</v>
      </c>
      <c r="X225" s="336">
        <f t="shared" si="112"/>
        <v>0</v>
      </c>
      <c r="Y225" s="338">
        <f t="shared" si="113"/>
        <v>0.44444444444444442</v>
      </c>
    </row>
    <row r="226" spans="1:25" ht="31.5" thickTop="1" thickBot="1" x14ac:dyDescent="0.3">
      <c r="A226" s="554"/>
      <c r="B226" s="616"/>
      <c r="C226" s="624"/>
      <c r="D226" s="624"/>
      <c r="E226" s="56" t="s">
        <v>563</v>
      </c>
      <c r="F226" s="32" t="s">
        <v>564</v>
      </c>
      <c r="G226" s="15">
        <v>9</v>
      </c>
      <c r="H226" s="72">
        <f>'TABLA GENERAL'!D251</f>
        <v>164</v>
      </c>
      <c r="I226" s="114">
        <f t="shared" si="108"/>
        <v>1476</v>
      </c>
      <c r="J226" s="47">
        <v>0</v>
      </c>
      <c r="K226" s="60">
        <f t="shared" si="98"/>
        <v>0</v>
      </c>
      <c r="L226" s="15">
        <v>4</v>
      </c>
      <c r="M226" s="60">
        <f t="shared" si="99"/>
        <v>656</v>
      </c>
      <c r="N226" s="15">
        <v>0</v>
      </c>
      <c r="O226" s="60">
        <f t="shared" si="100"/>
        <v>0</v>
      </c>
      <c r="P226" s="15">
        <v>0</v>
      </c>
      <c r="Q226" s="60">
        <f t="shared" si="101"/>
        <v>0</v>
      </c>
      <c r="R226" s="18">
        <f t="shared" si="102"/>
        <v>4</v>
      </c>
      <c r="S226" s="18">
        <f t="shared" si="102"/>
        <v>656</v>
      </c>
      <c r="U226" s="336">
        <f t="shared" si="109"/>
        <v>0</v>
      </c>
      <c r="V226" s="336">
        <f t="shared" si="110"/>
        <v>0.44444444444444442</v>
      </c>
      <c r="W226" s="336">
        <f t="shared" si="111"/>
        <v>0</v>
      </c>
      <c r="X226" s="336">
        <f t="shared" si="112"/>
        <v>0</v>
      </c>
      <c r="Y226" s="338">
        <f t="shared" si="113"/>
        <v>0.44444444444444442</v>
      </c>
    </row>
    <row r="227" spans="1:25" ht="16.5" customHeight="1" thickTop="1" thickBot="1" x14ac:dyDescent="0.3">
      <c r="A227" s="554"/>
      <c r="B227" s="616"/>
      <c r="C227" s="624"/>
      <c r="D227" s="624"/>
      <c r="E227" s="56" t="s">
        <v>192</v>
      </c>
      <c r="F227" s="32" t="s">
        <v>193</v>
      </c>
      <c r="G227" s="15">
        <v>1</v>
      </c>
      <c r="H227" s="72">
        <f>'TABLA GENERAL'!D252</f>
        <v>12000</v>
      </c>
      <c r="I227" s="114">
        <f t="shared" si="108"/>
        <v>12000</v>
      </c>
      <c r="J227" s="47">
        <v>0</v>
      </c>
      <c r="K227" s="60">
        <f t="shared" si="98"/>
        <v>0</v>
      </c>
      <c r="L227" s="15">
        <v>1</v>
      </c>
      <c r="M227" s="60">
        <f t="shared" si="99"/>
        <v>12000</v>
      </c>
      <c r="N227" s="15">
        <v>0</v>
      </c>
      <c r="O227" s="60">
        <f t="shared" si="100"/>
        <v>0</v>
      </c>
      <c r="P227" s="15">
        <v>0</v>
      </c>
      <c r="Q227" s="60">
        <f t="shared" si="101"/>
        <v>0</v>
      </c>
      <c r="R227" s="18">
        <f t="shared" si="102"/>
        <v>1</v>
      </c>
      <c r="S227" s="18">
        <f t="shared" si="102"/>
        <v>12000</v>
      </c>
      <c r="U227" s="336">
        <f t="shared" si="109"/>
        <v>0</v>
      </c>
      <c r="V227" s="336">
        <f t="shared" si="110"/>
        <v>1</v>
      </c>
      <c r="W227" s="336">
        <f t="shared" si="111"/>
        <v>0</v>
      </c>
      <c r="X227" s="336">
        <f t="shared" si="112"/>
        <v>0</v>
      </c>
      <c r="Y227" s="338">
        <f t="shared" si="113"/>
        <v>1</v>
      </c>
    </row>
    <row r="228" spans="1:25" ht="16.5" customHeight="1" thickTop="1" thickBot="1" x14ac:dyDescent="0.3">
      <c r="A228" s="554"/>
      <c r="B228" s="616"/>
      <c r="C228" s="624"/>
      <c r="D228" s="624"/>
      <c r="E228" s="56" t="s">
        <v>565</v>
      </c>
      <c r="F228" s="32" t="s">
        <v>566</v>
      </c>
      <c r="G228" s="15">
        <v>23</v>
      </c>
      <c r="H228" s="72">
        <f>'TABLA GENERAL'!D253</f>
        <v>70</v>
      </c>
      <c r="I228" s="114">
        <f t="shared" si="108"/>
        <v>1610</v>
      </c>
      <c r="J228" s="47">
        <v>0</v>
      </c>
      <c r="K228" s="60">
        <f t="shared" si="98"/>
        <v>0</v>
      </c>
      <c r="L228" s="15">
        <v>10</v>
      </c>
      <c r="M228" s="60">
        <f t="shared" si="99"/>
        <v>700</v>
      </c>
      <c r="N228" s="15">
        <v>0</v>
      </c>
      <c r="O228" s="60">
        <f t="shared" si="100"/>
        <v>0</v>
      </c>
      <c r="P228" s="15">
        <v>0</v>
      </c>
      <c r="Q228" s="60">
        <f t="shared" si="101"/>
        <v>0</v>
      </c>
      <c r="R228" s="18">
        <f t="shared" si="102"/>
        <v>10</v>
      </c>
      <c r="S228" s="18">
        <f t="shared" si="102"/>
        <v>700</v>
      </c>
      <c r="U228" s="336">
        <f t="shared" si="109"/>
        <v>0</v>
      </c>
      <c r="V228" s="336">
        <f t="shared" si="110"/>
        <v>0.43478260869565216</v>
      </c>
      <c r="W228" s="336">
        <f t="shared" si="111"/>
        <v>0</v>
      </c>
      <c r="X228" s="336">
        <f t="shared" si="112"/>
        <v>0</v>
      </c>
      <c r="Y228" s="338">
        <f t="shared" si="113"/>
        <v>0.43478260869565216</v>
      </c>
    </row>
    <row r="229" spans="1:25" ht="16.5" customHeight="1" thickTop="1" thickBot="1" x14ac:dyDescent="0.3">
      <c r="A229" s="554"/>
      <c r="B229" s="616"/>
      <c r="C229" s="624"/>
      <c r="D229" s="624"/>
      <c r="E229" s="56" t="s">
        <v>567</v>
      </c>
      <c r="F229" s="32" t="s">
        <v>568</v>
      </c>
      <c r="G229" s="15">
        <v>7</v>
      </c>
      <c r="H229" s="72">
        <f>'TABLA GENERAL'!D254</f>
        <v>2900</v>
      </c>
      <c r="I229" s="114">
        <f t="shared" si="108"/>
        <v>20300</v>
      </c>
      <c r="J229" s="47">
        <v>0</v>
      </c>
      <c r="K229" s="60">
        <f t="shared" si="98"/>
        <v>0</v>
      </c>
      <c r="L229" s="15">
        <v>7</v>
      </c>
      <c r="M229" s="60">
        <f t="shared" si="99"/>
        <v>20300</v>
      </c>
      <c r="N229" s="15">
        <v>0</v>
      </c>
      <c r="O229" s="60">
        <f t="shared" si="100"/>
        <v>0</v>
      </c>
      <c r="P229" s="15">
        <v>0</v>
      </c>
      <c r="Q229" s="60">
        <f t="shared" si="101"/>
        <v>0</v>
      </c>
      <c r="R229" s="18">
        <f t="shared" si="102"/>
        <v>7</v>
      </c>
      <c r="S229" s="18">
        <f t="shared" si="102"/>
        <v>20300</v>
      </c>
      <c r="U229" s="336">
        <f t="shared" si="109"/>
        <v>0</v>
      </c>
      <c r="V229" s="336">
        <f t="shared" si="110"/>
        <v>1</v>
      </c>
      <c r="W229" s="336">
        <f t="shared" si="111"/>
        <v>0</v>
      </c>
      <c r="X229" s="336">
        <f t="shared" si="112"/>
        <v>0</v>
      </c>
      <c r="Y229" s="338">
        <f t="shared" si="113"/>
        <v>1</v>
      </c>
    </row>
    <row r="230" spans="1:25" ht="16.5" customHeight="1" thickTop="1" thickBot="1" x14ac:dyDescent="0.3">
      <c r="A230" s="554"/>
      <c r="B230" s="616"/>
      <c r="C230" s="624"/>
      <c r="D230" s="624"/>
      <c r="E230" s="56" t="s">
        <v>194</v>
      </c>
      <c r="F230" s="32" t="s">
        <v>195</v>
      </c>
      <c r="G230" s="15">
        <v>10</v>
      </c>
      <c r="H230" s="72">
        <f>'TABLA GENERAL'!D255</f>
        <v>1300</v>
      </c>
      <c r="I230" s="114">
        <f t="shared" si="108"/>
        <v>13000</v>
      </c>
      <c r="J230" s="47">
        <v>4</v>
      </c>
      <c r="K230" s="60">
        <f t="shared" si="98"/>
        <v>5200</v>
      </c>
      <c r="L230" s="15">
        <v>0</v>
      </c>
      <c r="M230" s="60">
        <f t="shared" si="99"/>
        <v>0</v>
      </c>
      <c r="N230" s="15">
        <v>0</v>
      </c>
      <c r="O230" s="60">
        <f t="shared" si="100"/>
        <v>0</v>
      </c>
      <c r="P230" s="15">
        <v>0</v>
      </c>
      <c r="Q230" s="60">
        <f t="shared" si="101"/>
        <v>0</v>
      </c>
      <c r="R230" s="18">
        <f t="shared" si="102"/>
        <v>4</v>
      </c>
      <c r="S230" s="18">
        <f t="shared" si="102"/>
        <v>5200</v>
      </c>
      <c r="U230" s="336">
        <f t="shared" si="109"/>
        <v>0.4</v>
      </c>
      <c r="V230" s="336">
        <f t="shared" si="110"/>
        <v>0</v>
      </c>
      <c r="W230" s="336">
        <f t="shared" si="111"/>
        <v>0</v>
      </c>
      <c r="X230" s="336">
        <f t="shared" si="112"/>
        <v>0</v>
      </c>
      <c r="Y230" s="338">
        <f t="shared" si="113"/>
        <v>0.4</v>
      </c>
    </row>
    <row r="231" spans="1:25" ht="31.5" thickTop="1" thickBot="1" x14ac:dyDescent="0.3">
      <c r="A231" s="561"/>
      <c r="B231" s="589"/>
      <c r="C231" s="590"/>
      <c r="D231" s="590"/>
      <c r="E231" s="56" t="s">
        <v>569</v>
      </c>
      <c r="F231" s="57" t="s">
        <v>570</v>
      </c>
      <c r="G231" s="51">
        <v>10</v>
      </c>
      <c r="H231" s="72">
        <f>'TABLA GENERAL'!D256</f>
        <v>212</v>
      </c>
      <c r="I231" s="114">
        <f t="shared" si="108"/>
        <v>2120</v>
      </c>
      <c r="J231" s="47">
        <v>4</v>
      </c>
      <c r="K231" s="60">
        <f t="shared" si="98"/>
        <v>848</v>
      </c>
      <c r="L231" s="51">
        <v>0</v>
      </c>
      <c r="M231" s="60">
        <f t="shared" si="99"/>
        <v>0</v>
      </c>
      <c r="N231" s="51">
        <v>0</v>
      </c>
      <c r="O231" s="60">
        <f t="shared" si="100"/>
        <v>0</v>
      </c>
      <c r="P231" s="51">
        <v>0</v>
      </c>
      <c r="Q231" s="60">
        <f t="shared" si="101"/>
        <v>0</v>
      </c>
      <c r="R231" s="18">
        <f t="shared" si="102"/>
        <v>4</v>
      </c>
      <c r="S231" s="18">
        <f t="shared" si="102"/>
        <v>848</v>
      </c>
      <c r="U231" s="336">
        <f t="shared" si="109"/>
        <v>0.4</v>
      </c>
      <c r="V231" s="336">
        <f t="shared" si="110"/>
        <v>0</v>
      </c>
      <c r="W231" s="336">
        <f t="shared" si="111"/>
        <v>0</v>
      </c>
      <c r="X231" s="336">
        <f t="shared" si="112"/>
        <v>0</v>
      </c>
      <c r="Y231" s="338">
        <f t="shared" si="113"/>
        <v>0.4</v>
      </c>
    </row>
    <row r="232" spans="1:25" ht="17.25" thickBot="1" x14ac:dyDescent="0.3">
      <c r="A232" s="112"/>
      <c r="B232" s="112"/>
      <c r="C232" s="112"/>
      <c r="D232" s="112"/>
      <c r="E232" s="112"/>
      <c r="F232" s="112" t="s">
        <v>571</v>
      </c>
      <c r="G232" s="112"/>
      <c r="H232" s="112"/>
      <c r="I232" s="118">
        <f>SUM(I221:I231)</f>
        <v>154974.51</v>
      </c>
      <c r="J232" s="112"/>
      <c r="K232" s="119">
        <f>SUM(K221:K231)</f>
        <v>6048</v>
      </c>
      <c r="L232" s="112"/>
      <c r="M232" s="119">
        <f>SUM(M221:M231)</f>
        <v>105197.56</v>
      </c>
      <c r="N232" s="112"/>
      <c r="O232" s="119">
        <f>SUM(O221:O231)</f>
        <v>0</v>
      </c>
      <c r="P232" s="112"/>
      <c r="Q232" s="119">
        <f>SUM(Q221:Q231)</f>
        <v>0</v>
      </c>
      <c r="R232" s="112">
        <f t="shared" si="102"/>
        <v>0</v>
      </c>
      <c r="S232" s="119">
        <f>Q232+O232+M232+K232</f>
        <v>111245.56</v>
      </c>
      <c r="T232" s="14">
        <f>Q232+O232+M232+K232</f>
        <v>111245.56</v>
      </c>
      <c r="U232" s="340">
        <f>AVERAGE(U221:U231)</f>
        <v>7.2727272727272738E-2</v>
      </c>
      <c r="V232" s="340">
        <f t="shared" ref="V232:Y232" si="114">AVERAGE(V221:V231)</f>
        <v>0.51427316644707954</v>
      </c>
      <c r="W232" s="340">
        <f t="shared" si="114"/>
        <v>0</v>
      </c>
      <c r="X232" s="340">
        <f t="shared" si="114"/>
        <v>0</v>
      </c>
      <c r="Y232" s="340">
        <f t="shared" si="114"/>
        <v>0.5870004391743523</v>
      </c>
    </row>
    <row r="233" spans="1:25" x14ac:dyDescent="0.25">
      <c r="U233" s="342">
        <f>+K232/I232</f>
        <v>3.9025772689973336E-2</v>
      </c>
      <c r="V233" s="342">
        <f>+M232/I232</f>
        <v>0.67880556615407261</v>
      </c>
      <c r="W233" s="342">
        <f>+O232/I232</f>
        <v>0</v>
      </c>
      <c r="X233" s="342">
        <f>+Q232/I232</f>
        <v>0</v>
      </c>
      <c r="Y233" s="342">
        <f>+S232/I232</f>
        <v>0.71783133884404593</v>
      </c>
    </row>
    <row r="234" spans="1:25" ht="15.75" thickBot="1" x14ac:dyDescent="0.3"/>
    <row r="235" spans="1:25" ht="47.25" customHeight="1" thickBot="1" x14ac:dyDescent="0.3">
      <c r="B235" s="195"/>
      <c r="C235" s="195"/>
      <c r="D235" s="195"/>
      <c r="E235" s="195"/>
      <c r="F235" s="617" t="s">
        <v>572</v>
      </c>
      <c r="G235" s="618"/>
      <c r="H235" s="618"/>
      <c r="I235" s="618"/>
      <c r="J235" s="618"/>
      <c r="K235" s="618"/>
      <c r="L235" s="618"/>
      <c r="M235" s="618"/>
      <c r="N235" s="618"/>
      <c r="O235" s="618"/>
      <c r="P235" s="618"/>
      <c r="Q235" s="618"/>
      <c r="R235" s="584" t="s">
        <v>227</v>
      </c>
      <c r="S235" s="585"/>
      <c r="Y235" s="326" t="s">
        <v>227</v>
      </c>
    </row>
    <row r="236" spans="1:25" ht="50.25" customHeight="1" thickBot="1" x14ac:dyDescent="0.3">
      <c r="A236" s="314" t="s">
        <v>228</v>
      </c>
      <c r="B236" s="597" t="s">
        <v>573</v>
      </c>
      <c r="C236" s="555"/>
      <c r="D236" s="555"/>
      <c r="E236" s="131"/>
      <c r="F236" s="314" t="s">
        <v>85</v>
      </c>
      <c r="G236" s="314" t="s">
        <v>229</v>
      </c>
      <c r="H236" s="314" t="s">
        <v>123</v>
      </c>
      <c r="I236" s="113" t="s">
        <v>230</v>
      </c>
      <c r="J236" s="314">
        <v>2021</v>
      </c>
      <c r="K236" s="314" t="s">
        <v>79</v>
      </c>
      <c r="L236" s="314">
        <v>2022</v>
      </c>
      <c r="M236" s="314" t="s">
        <v>79</v>
      </c>
      <c r="N236" s="314">
        <v>2023</v>
      </c>
      <c r="O236" s="314" t="s">
        <v>79</v>
      </c>
      <c r="P236" s="314">
        <v>2025</v>
      </c>
      <c r="Q236" s="314" t="s">
        <v>79</v>
      </c>
      <c r="R236" s="314" t="s">
        <v>124</v>
      </c>
      <c r="S236" s="314" t="s">
        <v>77</v>
      </c>
      <c r="U236" s="335">
        <v>2021</v>
      </c>
      <c r="V236" s="335">
        <v>2022</v>
      </c>
      <c r="W236" s="335">
        <v>2023</v>
      </c>
      <c r="X236" s="335">
        <v>2025</v>
      </c>
      <c r="Y236" s="335" t="s">
        <v>124</v>
      </c>
    </row>
    <row r="237" spans="1:25" ht="30" customHeight="1" thickTop="1" thickBot="1" x14ac:dyDescent="0.3">
      <c r="A237" s="562" t="s">
        <v>572</v>
      </c>
      <c r="B237" s="604"/>
      <c r="C237" s="605"/>
      <c r="D237" s="605"/>
      <c r="E237" s="56" t="s">
        <v>196</v>
      </c>
      <c r="F237" s="104" t="s">
        <v>197</v>
      </c>
      <c r="G237" s="47">
        <v>2</v>
      </c>
      <c r="H237" s="72">
        <f>'TABLA GENERAL'!D262</f>
        <v>68118</v>
      </c>
      <c r="I237" s="114">
        <f>+H237*G237</f>
        <v>136236</v>
      </c>
      <c r="J237" s="47">
        <v>0</v>
      </c>
      <c r="K237" s="60">
        <f t="shared" ref="K237:K239" si="115">J237*H237</f>
        <v>0</v>
      </c>
      <c r="L237" s="47">
        <v>0</v>
      </c>
      <c r="M237" s="60">
        <f t="shared" ref="M237:M239" si="116">L237*H237</f>
        <v>0</v>
      </c>
      <c r="N237" s="47">
        <v>2</v>
      </c>
      <c r="O237" s="60">
        <f t="shared" ref="O237:O239" si="117">N237*H237</f>
        <v>136236</v>
      </c>
      <c r="P237" s="47">
        <v>0</v>
      </c>
      <c r="Q237" s="60">
        <f t="shared" ref="Q237:Q239" si="118">P237*H237</f>
        <v>0</v>
      </c>
      <c r="R237" s="18">
        <f t="shared" ref="R237:S240" si="119">P237+N237+L237+J237</f>
        <v>2</v>
      </c>
      <c r="S237" s="18">
        <f t="shared" si="119"/>
        <v>136236</v>
      </c>
      <c r="U237" s="336">
        <f t="shared" ref="U237" si="120">+J237/G237</f>
        <v>0</v>
      </c>
      <c r="V237" s="336">
        <f t="shared" ref="V237" si="121">+L237/G237</f>
        <v>0</v>
      </c>
      <c r="W237" s="336">
        <f t="shared" ref="W237" si="122">+N237/G237</f>
        <v>1</v>
      </c>
      <c r="X237" s="336">
        <f t="shared" ref="X237" si="123">+P237/G237</f>
        <v>0</v>
      </c>
      <c r="Y237" s="338">
        <f t="shared" ref="Y237" si="124">+R237/G237</f>
        <v>1</v>
      </c>
    </row>
    <row r="238" spans="1:25" ht="16.5" customHeight="1" thickTop="1" thickBot="1" x14ac:dyDescent="0.3">
      <c r="A238" s="563"/>
      <c r="B238" s="604"/>
      <c r="C238" s="605"/>
      <c r="D238" s="605"/>
      <c r="E238" s="56" t="s">
        <v>198</v>
      </c>
      <c r="F238" s="105" t="s">
        <v>199</v>
      </c>
      <c r="G238" s="15">
        <v>5</v>
      </c>
      <c r="H238" s="72">
        <f>'TABLA GENERAL'!D263</f>
        <v>24460</v>
      </c>
      <c r="I238" s="114">
        <f t="shared" ref="I238:I239" si="125">+H238*G238</f>
        <v>122300</v>
      </c>
      <c r="J238" s="15">
        <v>4</v>
      </c>
      <c r="K238" s="60">
        <f>J238*H238</f>
        <v>97840</v>
      </c>
      <c r="L238" s="15">
        <v>0</v>
      </c>
      <c r="M238" s="60">
        <f t="shared" si="116"/>
        <v>0</v>
      </c>
      <c r="N238" s="15">
        <v>0</v>
      </c>
      <c r="O238" s="60">
        <f t="shared" si="117"/>
        <v>0</v>
      </c>
      <c r="P238" s="15">
        <v>1</v>
      </c>
      <c r="Q238" s="60">
        <f>P238*H238</f>
        <v>24460</v>
      </c>
      <c r="R238" s="18">
        <f t="shared" si="119"/>
        <v>5</v>
      </c>
      <c r="S238" s="18">
        <f t="shared" si="119"/>
        <v>122300</v>
      </c>
      <c r="U238" s="336">
        <f t="shared" ref="U238:U239" si="126">+J238/G238</f>
        <v>0.8</v>
      </c>
      <c r="V238" s="336">
        <f t="shared" ref="V238:V239" si="127">+L238/G238</f>
        <v>0</v>
      </c>
      <c r="W238" s="336">
        <f t="shared" ref="W238:W239" si="128">+N238/G238</f>
        <v>0</v>
      </c>
      <c r="X238" s="336">
        <f t="shared" ref="X238:X239" si="129">+P238/G238</f>
        <v>0.2</v>
      </c>
      <c r="Y238" s="338">
        <f t="shared" ref="Y238:Y239" si="130">+R238/G238</f>
        <v>1</v>
      </c>
    </row>
    <row r="239" spans="1:25" ht="16.5" customHeight="1" thickTop="1" thickBot="1" x14ac:dyDescent="0.3">
      <c r="A239" s="564"/>
      <c r="B239" s="607"/>
      <c r="C239" s="608"/>
      <c r="D239" s="608"/>
      <c r="E239" s="56" t="s">
        <v>200</v>
      </c>
      <c r="F239" s="106" t="s">
        <v>201</v>
      </c>
      <c r="G239" s="51">
        <v>2</v>
      </c>
      <c r="H239" s="72">
        <f>'TABLA GENERAL'!D264</f>
        <v>2493</v>
      </c>
      <c r="I239" s="114">
        <f t="shared" si="125"/>
        <v>4986</v>
      </c>
      <c r="J239" s="51">
        <v>1</v>
      </c>
      <c r="K239" s="60">
        <f t="shared" si="115"/>
        <v>2493</v>
      </c>
      <c r="L239" s="51">
        <v>0</v>
      </c>
      <c r="M239" s="60">
        <f t="shared" si="116"/>
        <v>0</v>
      </c>
      <c r="N239" s="51">
        <v>0</v>
      </c>
      <c r="O239" s="60">
        <f t="shared" si="117"/>
        <v>0</v>
      </c>
      <c r="P239" s="51">
        <v>1</v>
      </c>
      <c r="Q239" s="60">
        <f t="shared" si="118"/>
        <v>2493</v>
      </c>
      <c r="R239" s="18">
        <f t="shared" si="119"/>
        <v>2</v>
      </c>
      <c r="S239" s="18">
        <f t="shared" si="119"/>
        <v>4986</v>
      </c>
      <c r="U239" s="336">
        <f t="shared" si="126"/>
        <v>0.5</v>
      </c>
      <c r="V239" s="336">
        <f t="shared" si="127"/>
        <v>0</v>
      </c>
      <c r="W239" s="336">
        <f t="shared" si="128"/>
        <v>0</v>
      </c>
      <c r="X239" s="336">
        <f t="shared" si="129"/>
        <v>0.5</v>
      </c>
      <c r="Y239" s="338">
        <f t="shared" si="130"/>
        <v>1</v>
      </c>
    </row>
    <row r="240" spans="1:25" ht="17.25" thickBot="1" x14ac:dyDescent="0.3">
      <c r="A240" s="112"/>
      <c r="B240" s="112"/>
      <c r="C240" s="112"/>
      <c r="D240" s="112"/>
      <c r="E240" s="112"/>
      <c r="F240" s="112" t="s">
        <v>574</v>
      </c>
      <c r="G240" s="112"/>
      <c r="H240" s="112"/>
      <c r="I240" s="118">
        <f>SUM(I237:I239)</f>
        <v>263522</v>
      </c>
      <c r="J240" s="112"/>
      <c r="K240" s="119">
        <f>SUM(K237:K239)</f>
        <v>100333</v>
      </c>
      <c r="L240" s="112"/>
      <c r="M240" s="119">
        <f>SUM(M237:M239)</f>
        <v>0</v>
      </c>
      <c r="N240" s="112"/>
      <c r="O240" s="119">
        <f>SUM(O237:O239)</f>
        <v>136236</v>
      </c>
      <c r="P240" s="112"/>
      <c r="Q240" s="119">
        <f>SUM(Q237:Q239)</f>
        <v>26953</v>
      </c>
      <c r="R240" s="112">
        <f t="shared" si="119"/>
        <v>0</v>
      </c>
      <c r="S240" s="119">
        <f>Q240+O240+M240+K240</f>
        <v>263522</v>
      </c>
      <c r="T240" s="14">
        <f>Q240+O240+K240</f>
        <v>263522</v>
      </c>
      <c r="U240" s="340">
        <f>AVERAGE(U237:U239)</f>
        <v>0.43333333333333335</v>
      </c>
      <c r="V240" s="340">
        <f t="shared" ref="V240:Y240" si="131">AVERAGE(V237:V239)</f>
        <v>0</v>
      </c>
      <c r="W240" s="340">
        <f t="shared" si="131"/>
        <v>0.33333333333333331</v>
      </c>
      <c r="X240" s="340">
        <f t="shared" si="131"/>
        <v>0.23333333333333331</v>
      </c>
      <c r="Y240" s="340">
        <f t="shared" si="131"/>
        <v>1</v>
      </c>
    </row>
    <row r="241" spans="1:25" ht="15.75" thickBot="1" x14ac:dyDescent="0.3">
      <c r="U241" s="342">
        <f>+K240/I240</f>
        <v>0.38073861005912218</v>
      </c>
      <c r="V241" s="342">
        <f>+M240/I240</f>
        <v>0</v>
      </c>
      <c r="W241" s="342">
        <f>+O240/I240</f>
        <v>0.51698150439052526</v>
      </c>
      <c r="X241" s="342">
        <f>+Q240/I240</f>
        <v>0.10227988555035253</v>
      </c>
      <c r="Y241" s="342">
        <f>+S240/I240</f>
        <v>1</v>
      </c>
    </row>
    <row r="242" spans="1:25" ht="47.25" customHeight="1" thickBot="1" x14ac:dyDescent="0.3">
      <c r="A242" s="620"/>
      <c r="B242" s="620"/>
      <c r="C242" s="620"/>
      <c r="D242" s="620"/>
      <c r="E242" s="621"/>
      <c r="F242" s="617" t="s">
        <v>575</v>
      </c>
      <c r="G242" s="618"/>
      <c r="H242" s="618"/>
      <c r="I242" s="618"/>
      <c r="J242" s="618"/>
      <c r="K242" s="618"/>
      <c r="L242" s="618"/>
      <c r="M242" s="618"/>
      <c r="N242" s="618"/>
      <c r="O242" s="618"/>
      <c r="P242" s="618"/>
      <c r="Q242" s="618"/>
      <c r="R242" s="584" t="s">
        <v>227</v>
      </c>
      <c r="S242" s="585"/>
      <c r="Y242" s="326" t="s">
        <v>227</v>
      </c>
    </row>
    <row r="243" spans="1:25" ht="50.25" customHeight="1" thickBot="1" x14ac:dyDescent="0.3">
      <c r="A243" s="314" t="s">
        <v>228</v>
      </c>
      <c r="B243" s="597" t="s">
        <v>576</v>
      </c>
      <c r="C243" s="555"/>
      <c r="D243" s="555"/>
      <c r="E243" s="131"/>
      <c r="F243" s="112" t="s">
        <v>85</v>
      </c>
      <c r="G243" s="112" t="s">
        <v>229</v>
      </c>
      <c r="H243" s="112" t="s">
        <v>123</v>
      </c>
      <c r="I243" s="113" t="s">
        <v>230</v>
      </c>
      <c r="J243" s="314">
        <v>2021</v>
      </c>
      <c r="K243" s="314" t="s">
        <v>79</v>
      </c>
      <c r="L243" s="314">
        <v>2022</v>
      </c>
      <c r="M243" s="314" t="s">
        <v>79</v>
      </c>
      <c r="N243" s="314">
        <v>2023</v>
      </c>
      <c r="O243" s="314" t="s">
        <v>79</v>
      </c>
      <c r="P243" s="314">
        <v>2025</v>
      </c>
      <c r="Q243" s="314" t="s">
        <v>79</v>
      </c>
      <c r="R243" s="314" t="s">
        <v>124</v>
      </c>
      <c r="S243" s="314" t="s">
        <v>77</v>
      </c>
      <c r="U243" s="335">
        <v>2021</v>
      </c>
      <c r="V243" s="335">
        <v>2022</v>
      </c>
      <c r="W243" s="335">
        <v>2023</v>
      </c>
      <c r="X243" s="335">
        <v>2025</v>
      </c>
      <c r="Y243" s="335" t="s">
        <v>124</v>
      </c>
    </row>
    <row r="244" spans="1:25" ht="34.5" thickTop="1" thickBot="1" x14ac:dyDescent="0.3">
      <c r="A244" s="112" t="s">
        <v>575</v>
      </c>
      <c r="B244" s="607"/>
      <c r="C244" s="608"/>
      <c r="D244" s="608"/>
      <c r="E244" s="56" t="s">
        <v>743</v>
      </c>
      <c r="F244" s="107" t="s">
        <v>686</v>
      </c>
      <c r="G244" s="313">
        <v>1</v>
      </c>
      <c r="H244" s="94">
        <f>'TABLA GENERAL'!D270</f>
        <v>172012</v>
      </c>
      <c r="I244" s="114">
        <f>+H244</f>
        <v>172012</v>
      </c>
      <c r="J244" s="108"/>
      <c r="K244" s="60">
        <f t="shared" ref="K244" si="132">J244*H244</f>
        <v>0</v>
      </c>
      <c r="L244" s="108">
        <v>0</v>
      </c>
      <c r="M244" s="60">
        <f t="shared" ref="M244" si="133">L244*H244</f>
        <v>0</v>
      </c>
      <c r="N244" s="108">
        <v>0</v>
      </c>
      <c r="O244" s="60">
        <f t="shared" ref="O244" si="134">N244*H244</f>
        <v>0</v>
      </c>
      <c r="P244" s="108">
        <v>1</v>
      </c>
      <c r="Q244" s="60">
        <f t="shared" ref="Q244" si="135">P244*H244</f>
        <v>172012</v>
      </c>
      <c r="R244" s="18">
        <f t="shared" ref="R244:S245" si="136">P244+N244+L244+J244</f>
        <v>1</v>
      </c>
      <c r="S244" s="18">
        <f t="shared" si="136"/>
        <v>172012</v>
      </c>
      <c r="U244" s="336">
        <f t="shared" ref="U244" si="137">+J244/G244</f>
        <v>0</v>
      </c>
      <c r="V244" s="336">
        <f t="shared" ref="V244" si="138">+L244/G244</f>
        <v>0</v>
      </c>
      <c r="W244" s="336">
        <f t="shared" ref="W244" si="139">+N244/G244</f>
        <v>0</v>
      </c>
      <c r="X244" s="336">
        <f t="shared" ref="X244" si="140">+P244/G244</f>
        <v>1</v>
      </c>
      <c r="Y244" s="338">
        <f t="shared" ref="Y244" si="141">+R244/G244</f>
        <v>1</v>
      </c>
    </row>
    <row r="245" spans="1:25" ht="17.25" thickBot="1" x14ac:dyDescent="0.3">
      <c r="A245" s="112"/>
      <c r="B245" s="112"/>
      <c r="C245" s="112"/>
      <c r="D245" s="112"/>
      <c r="E245" s="112"/>
      <c r="F245" s="112" t="s">
        <v>577</v>
      </c>
      <c r="G245" s="112"/>
      <c r="H245" s="112"/>
      <c r="I245" s="118">
        <f>+I244</f>
        <v>172012</v>
      </c>
      <c r="J245" s="112"/>
      <c r="K245" s="119">
        <f>SUM(K244)</f>
        <v>0</v>
      </c>
      <c r="L245" s="112"/>
      <c r="M245" s="119">
        <f>SUM(M244)</f>
        <v>0</v>
      </c>
      <c r="N245" s="112"/>
      <c r="O245" s="119">
        <f>SUM(O244)</f>
        <v>0</v>
      </c>
      <c r="P245" s="112"/>
      <c r="Q245" s="119">
        <f>SUM(Q244)</f>
        <v>172012</v>
      </c>
      <c r="R245" s="112">
        <f t="shared" si="136"/>
        <v>0</v>
      </c>
      <c r="S245" s="119">
        <f>Q245+O245+M245+K245</f>
        <v>172012</v>
      </c>
      <c r="T245" s="14">
        <f>S245</f>
        <v>172012</v>
      </c>
      <c r="U245" s="112"/>
      <c r="V245" s="112"/>
      <c r="W245" s="112"/>
      <c r="X245" s="112"/>
      <c r="Y245" s="340">
        <v>1</v>
      </c>
    </row>
    <row r="246" spans="1:25" ht="15.75" thickBot="1" x14ac:dyDescent="0.3">
      <c r="U246" s="342">
        <f>+K245/I245</f>
        <v>0</v>
      </c>
      <c r="V246" s="342">
        <f>+M245/I245</f>
        <v>0</v>
      </c>
      <c r="W246" s="342">
        <f>+O245/I245</f>
        <v>0</v>
      </c>
      <c r="X246" s="342">
        <f>+Q245/I245</f>
        <v>1</v>
      </c>
      <c r="Y246" s="342">
        <f>+S245/I245</f>
        <v>1</v>
      </c>
    </row>
    <row r="247" spans="1:25" ht="47.25" customHeight="1" thickBot="1" x14ac:dyDescent="0.3">
      <c r="A247" s="195"/>
      <c r="B247" s="195"/>
      <c r="C247" s="195"/>
      <c r="D247" s="195"/>
      <c r="E247" s="195"/>
      <c r="F247" s="617" t="s">
        <v>578</v>
      </c>
      <c r="G247" s="618"/>
      <c r="H247" s="618"/>
      <c r="I247" s="618"/>
      <c r="J247" s="618"/>
      <c r="K247" s="618"/>
      <c r="L247" s="618"/>
      <c r="M247" s="618"/>
      <c r="N247" s="618"/>
      <c r="O247" s="618"/>
      <c r="P247" s="618"/>
      <c r="Q247" s="618"/>
      <c r="R247" s="584" t="s">
        <v>227</v>
      </c>
      <c r="S247" s="585"/>
      <c r="Y247" s="326" t="s">
        <v>227</v>
      </c>
    </row>
    <row r="248" spans="1:25" ht="50.25" customHeight="1" thickBot="1" x14ac:dyDescent="0.3">
      <c r="A248" s="314" t="s">
        <v>228</v>
      </c>
      <c r="B248" s="597" t="s">
        <v>579</v>
      </c>
      <c r="C248" s="555"/>
      <c r="D248" s="555"/>
      <c r="E248" s="56"/>
      <c r="F248" s="314" t="s">
        <v>85</v>
      </c>
      <c r="G248" s="112" t="s">
        <v>229</v>
      </c>
      <c r="H248" s="314" t="s">
        <v>123</v>
      </c>
      <c r="I248" s="113" t="s">
        <v>230</v>
      </c>
      <c r="J248" s="314">
        <v>2021</v>
      </c>
      <c r="K248" s="314" t="s">
        <v>79</v>
      </c>
      <c r="L248" s="314">
        <v>2022</v>
      </c>
      <c r="M248" s="314" t="s">
        <v>79</v>
      </c>
      <c r="N248" s="314">
        <v>2023</v>
      </c>
      <c r="O248" s="314" t="s">
        <v>79</v>
      </c>
      <c r="P248" s="314">
        <v>2025</v>
      </c>
      <c r="Q248" s="314" t="s">
        <v>79</v>
      </c>
      <c r="R248" s="314" t="s">
        <v>124</v>
      </c>
      <c r="S248" s="314" t="s">
        <v>77</v>
      </c>
      <c r="U248" s="335">
        <v>2021</v>
      </c>
      <c r="V248" s="335">
        <v>2022</v>
      </c>
      <c r="W248" s="335">
        <v>2023</v>
      </c>
      <c r="X248" s="335">
        <v>2025</v>
      </c>
      <c r="Y248" s="335" t="s">
        <v>124</v>
      </c>
    </row>
    <row r="249" spans="1:25" ht="51" thickTop="1" thickBot="1" x14ac:dyDescent="0.3">
      <c r="A249" s="112" t="s">
        <v>578</v>
      </c>
      <c r="B249" s="607"/>
      <c r="C249" s="608"/>
      <c r="D249" s="608"/>
      <c r="E249" s="56" t="s">
        <v>744</v>
      </c>
      <c r="F249" s="109" t="s">
        <v>205</v>
      </c>
      <c r="G249" s="313">
        <v>1</v>
      </c>
      <c r="H249" s="110">
        <f>'TABLA GENERAL'!D275</f>
        <v>90850</v>
      </c>
      <c r="I249" s="114">
        <f>+H249</f>
        <v>90850</v>
      </c>
      <c r="J249" s="108">
        <v>0</v>
      </c>
      <c r="K249" s="60">
        <f t="shared" ref="K249" si="142">J249*H249</f>
        <v>0</v>
      </c>
      <c r="L249" s="108">
        <v>0</v>
      </c>
      <c r="M249" s="60">
        <f t="shared" ref="M249" si="143">L249*H249</f>
        <v>0</v>
      </c>
      <c r="N249" s="108">
        <v>0</v>
      </c>
      <c r="O249" s="60">
        <f t="shared" ref="O249" si="144">N249*H249</f>
        <v>0</v>
      </c>
      <c r="P249" s="108">
        <v>1</v>
      </c>
      <c r="Q249" s="60">
        <f t="shared" ref="Q249" si="145">P249*H249</f>
        <v>90850</v>
      </c>
      <c r="R249" s="18">
        <f t="shared" ref="R249:S250" si="146">P249+N249+L249+J249</f>
        <v>1</v>
      </c>
      <c r="S249" s="18">
        <f t="shared" si="146"/>
        <v>90850</v>
      </c>
      <c r="U249" s="336">
        <f t="shared" ref="U249" si="147">+J249/G249</f>
        <v>0</v>
      </c>
      <c r="V249" s="336">
        <f t="shared" ref="V249" si="148">+L249/G249</f>
        <v>0</v>
      </c>
      <c r="W249" s="336">
        <f t="shared" ref="W249" si="149">+N249/G249</f>
        <v>0</v>
      </c>
      <c r="X249" s="336">
        <f t="shared" ref="X249" si="150">+P249/G249</f>
        <v>1</v>
      </c>
      <c r="Y249" s="338">
        <f t="shared" ref="Y249" si="151">+R249/G249</f>
        <v>1</v>
      </c>
    </row>
    <row r="250" spans="1:25" ht="17.25" thickBot="1" x14ac:dyDescent="0.3">
      <c r="A250" s="112"/>
      <c r="B250" s="112"/>
      <c r="C250" s="112"/>
      <c r="D250" s="112"/>
      <c r="E250" s="112"/>
      <c r="F250" s="112" t="s">
        <v>580</v>
      </c>
      <c r="G250" s="112"/>
      <c r="H250" s="112"/>
      <c r="I250" s="118">
        <f>+I249</f>
        <v>90850</v>
      </c>
      <c r="J250" s="112"/>
      <c r="K250" s="119">
        <f>SUM(K249)</f>
        <v>0</v>
      </c>
      <c r="L250" s="112"/>
      <c r="M250" s="119">
        <f>SUM(M249)</f>
        <v>0</v>
      </c>
      <c r="N250" s="112"/>
      <c r="O250" s="119">
        <f>SUM(O249)</f>
        <v>0</v>
      </c>
      <c r="P250" s="112"/>
      <c r="Q250" s="119">
        <f>SUM(Q249)</f>
        <v>90850</v>
      </c>
      <c r="R250" s="112">
        <f t="shared" si="146"/>
        <v>0</v>
      </c>
      <c r="S250" s="119">
        <f>Q250+O250+M250+K250</f>
        <v>90850</v>
      </c>
      <c r="T250" s="14">
        <f>S250</f>
        <v>90850</v>
      </c>
      <c r="U250" s="340">
        <f>+U249</f>
        <v>0</v>
      </c>
      <c r="V250" s="340">
        <f t="shared" ref="V250:X250" si="152">+V249</f>
        <v>0</v>
      </c>
      <c r="W250" s="340">
        <f t="shared" si="152"/>
        <v>0</v>
      </c>
      <c r="X250" s="340">
        <f t="shared" si="152"/>
        <v>1</v>
      </c>
      <c r="Y250" s="340">
        <v>1</v>
      </c>
    </row>
    <row r="251" spans="1:25" ht="27" customHeight="1" thickBot="1" x14ac:dyDescent="0.3">
      <c r="U251" s="342">
        <f>+K250/I250</f>
        <v>0</v>
      </c>
      <c r="V251" s="342">
        <f>+M250/I250</f>
        <v>0</v>
      </c>
      <c r="W251" s="342">
        <f>+O250/I250</f>
        <v>0</v>
      </c>
      <c r="X251" s="342">
        <f>+Q250/I250</f>
        <v>1</v>
      </c>
      <c r="Y251" s="342">
        <f>+S250/I250</f>
        <v>1</v>
      </c>
    </row>
    <row r="252" spans="1:25" ht="47.25" customHeight="1" thickBot="1" x14ac:dyDescent="0.3">
      <c r="A252" s="195"/>
      <c r="B252" s="195"/>
      <c r="C252" s="195"/>
      <c r="D252" s="195"/>
      <c r="E252" s="195"/>
      <c r="F252" s="617" t="s">
        <v>581</v>
      </c>
      <c r="G252" s="618"/>
      <c r="H252" s="618"/>
      <c r="I252" s="618"/>
      <c r="J252" s="618"/>
      <c r="K252" s="618"/>
      <c r="L252" s="618"/>
      <c r="M252" s="618"/>
      <c r="N252" s="618"/>
      <c r="O252" s="618"/>
      <c r="P252" s="618"/>
      <c r="Q252" s="618"/>
      <c r="R252" s="584" t="s">
        <v>227</v>
      </c>
      <c r="S252" s="585"/>
      <c r="Y252" s="326" t="s">
        <v>227</v>
      </c>
    </row>
    <row r="253" spans="1:25" ht="50.25" thickBot="1" x14ac:dyDescent="0.3">
      <c r="A253" s="314" t="s">
        <v>228</v>
      </c>
      <c r="B253" s="610" t="s">
        <v>582</v>
      </c>
      <c r="C253" s="611"/>
      <c r="D253" s="314"/>
      <c r="E253" s="314"/>
      <c r="F253" s="314" t="s">
        <v>85</v>
      </c>
      <c r="G253" s="314" t="s">
        <v>229</v>
      </c>
      <c r="H253" s="314" t="s">
        <v>123</v>
      </c>
      <c r="I253" s="113" t="s">
        <v>230</v>
      </c>
      <c r="J253" s="314">
        <v>2021</v>
      </c>
      <c r="K253" s="314" t="s">
        <v>79</v>
      </c>
      <c r="L253" s="314">
        <v>2022</v>
      </c>
      <c r="M253" s="314" t="s">
        <v>79</v>
      </c>
      <c r="N253" s="314">
        <v>2023</v>
      </c>
      <c r="O253" s="314" t="s">
        <v>79</v>
      </c>
      <c r="P253" s="314">
        <v>2025</v>
      </c>
      <c r="Q253" s="314" t="s">
        <v>79</v>
      </c>
      <c r="R253" s="314" t="s">
        <v>124</v>
      </c>
      <c r="S253" s="314" t="s">
        <v>77</v>
      </c>
      <c r="U253" s="335">
        <v>2021</v>
      </c>
      <c r="V253" s="335">
        <v>2022</v>
      </c>
      <c r="W253" s="335">
        <v>2023</v>
      </c>
      <c r="X253" s="335">
        <v>2025</v>
      </c>
      <c r="Y253" s="335" t="s">
        <v>124</v>
      </c>
    </row>
    <row r="254" spans="1:25" ht="31.5" customHeight="1" thickTop="1" thickBot="1" x14ac:dyDescent="0.3">
      <c r="A254" s="558" t="s">
        <v>581</v>
      </c>
      <c r="B254" s="612"/>
      <c r="C254" s="613"/>
      <c r="D254" s="586" t="s">
        <v>206</v>
      </c>
      <c r="E254" s="56" t="s">
        <v>207</v>
      </c>
      <c r="F254" s="48" t="s">
        <v>208</v>
      </c>
      <c r="G254" s="47">
        <v>14</v>
      </c>
      <c r="H254" s="72">
        <f>'TABLA GENERAL'!D280</f>
        <v>570</v>
      </c>
      <c r="I254" s="114">
        <f>H254*G254</f>
        <v>7980</v>
      </c>
      <c r="J254" s="108">
        <v>0</v>
      </c>
      <c r="K254" s="60">
        <f t="shared" ref="K254:K257" si="153">J254*H254</f>
        <v>0</v>
      </c>
      <c r="L254" s="108">
        <v>0</v>
      </c>
      <c r="M254" s="60">
        <f t="shared" ref="M254:O257" si="154">L254*H254</f>
        <v>0</v>
      </c>
      <c r="N254" s="108">
        <v>0</v>
      </c>
      <c r="O254" s="60">
        <f t="shared" ref="O254:O256" si="155">N254*H254</f>
        <v>0</v>
      </c>
      <c r="P254" s="47">
        <v>6</v>
      </c>
      <c r="Q254" s="60">
        <f t="shared" ref="Q254:Q257" si="156">P254*H254</f>
        <v>3420</v>
      </c>
      <c r="R254" s="18">
        <f t="shared" ref="R254:S258" si="157">P254+N254+L254+J254</f>
        <v>6</v>
      </c>
      <c r="S254" s="18">
        <f t="shared" si="157"/>
        <v>3420</v>
      </c>
      <c r="U254" s="336">
        <f t="shared" ref="U254" si="158">+J254/G254</f>
        <v>0</v>
      </c>
      <c r="V254" s="336">
        <f t="shared" ref="V254" si="159">+L254/G254</f>
        <v>0</v>
      </c>
      <c r="W254" s="336">
        <f t="shared" ref="W254" si="160">+N254/G254</f>
        <v>0</v>
      </c>
      <c r="X254" s="336">
        <f t="shared" ref="X254" si="161">+P254/G254</f>
        <v>0.42857142857142855</v>
      </c>
      <c r="Y254" s="338">
        <f t="shared" ref="Y254" si="162">+R254/G254</f>
        <v>0.42857142857142855</v>
      </c>
    </row>
    <row r="255" spans="1:25" ht="31.5" thickTop="1" thickBot="1" x14ac:dyDescent="0.3">
      <c r="A255" s="559" t="s">
        <v>581</v>
      </c>
      <c r="B255" s="612"/>
      <c r="C255" s="613"/>
      <c r="D255" s="616"/>
      <c r="E255" s="56" t="s">
        <v>209</v>
      </c>
      <c r="F255" s="32" t="s">
        <v>210</v>
      </c>
      <c r="G255" s="15">
        <v>8</v>
      </c>
      <c r="H255" s="72">
        <f>'TABLA GENERAL'!D281</f>
        <v>3967.46</v>
      </c>
      <c r="I255" s="114">
        <f t="shared" ref="I255:I257" si="163">H255*G255</f>
        <v>31739.68</v>
      </c>
      <c r="J255" s="108">
        <v>0</v>
      </c>
      <c r="K255" s="60">
        <f t="shared" si="153"/>
        <v>0</v>
      </c>
      <c r="L255" s="108">
        <v>0</v>
      </c>
      <c r="M255" s="60">
        <f t="shared" si="154"/>
        <v>0</v>
      </c>
      <c r="N255" s="108">
        <v>0</v>
      </c>
      <c r="O255" s="60">
        <f t="shared" si="155"/>
        <v>0</v>
      </c>
      <c r="P255" s="15">
        <v>4</v>
      </c>
      <c r="Q255" s="60">
        <f t="shared" si="156"/>
        <v>15869.84</v>
      </c>
      <c r="R255" s="18">
        <f t="shared" si="157"/>
        <v>4</v>
      </c>
      <c r="S255" s="18">
        <f t="shared" si="157"/>
        <v>15869.84</v>
      </c>
      <c r="U255" s="336">
        <f t="shared" ref="U255:U257" si="164">+J255/G255</f>
        <v>0</v>
      </c>
      <c r="V255" s="336">
        <f t="shared" ref="V255:V257" si="165">+L255/G255</f>
        <v>0</v>
      </c>
      <c r="W255" s="336">
        <f t="shared" ref="W255:W257" si="166">+N255/G255</f>
        <v>0</v>
      </c>
      <c r="X255" s="336">
        <f t="shared" ref="X255:X257" si="167">+P255/G255</f>
        <v>0.5</v>
      </c>
      <c r="Y255" s="338">
        <f t="shared" ref="Y255:Y257" si="168">+R255/G255</f>
        <v>0.5</v>
      </c>
    </row>
    <row r="256" spans="1:25" ht="31.5" thickTop="1" thickBot="1" x14ac:dyDescent="0.3">
      <c r="A256" s="559" t="s">
        <v>581</v>
      </c>
      <c r="B256" s="612"/>
      <c r="C256" s="613"/>
      <c r="D256" s="616"/>
      <c r="E256" s="56" t="s">
        <v>583</v>
      </c>
      <c r="F256" s="32" t="s">
        <v>584</v>
      </c>
      <c r="G256" s="15">
        <v>14</v>
      </c>
      <c r="H256" s="72">
        <f>'TABLA GENERAL'!D282</f>
        <v>24870</v>
      </c>
      <c r="I256" s="114">
        <f t="shared" si="163"/>
        <v>348180</v>
      </c>
      <c r="J256" s="108">
        <v>0</v>
      </c>
      <c r="K256" s="60">
        <f t="shared" si="153"/>
        <v>0</v>
      </c>
      <c r="L256" s="108">
        <v>0</v>
      </c>
      <c r="M256" s="60">
        <f t="shared" si="154"/>
        <v>0</v>
      </c>
      <c r="N256" s="108">
        <v>0</v>
      </c>
      <c r="O256" s="60">
        <f t="shared" si="155"/>
        <v>0</v>
      </c>
      <c r="P256" s="15">
        <v>8</v>
      </c>
      <c r="Q256" s="60">
        <f t="shared" si="156"/>
        <v>198960</v>
      </c>
      <c r="R256" s="18">
        <f t="shared" si="157"/>
        <v>8</v>
      </c>
      <c r="S256" s="18">
        <f t="shared" si="157"/>
        <v>198960</v>
      </c>
      <c r="U256" s="336">
        <f t="shared" si="164"/>
        <v>0</v>
      </c>
      <c r="V256" s="336">
        <f t="shared" si="165"/>
        <v>0</v>
      </c>
      <c r="W256" s="336">
        <f t="shared" si="166"/>
        <v>0</v>
      </c>
      <c r="X256" s="336">
        <f t="shared" si="167"/>
        <v>0.5714285714285714</v>
      </c>
      <c r="Y256" s="338">
        <f t="shared" si="168"/>
        <v>0.5714285714285714</v>
      </c>
    </row>
    <row r="257" spans="1:25" ht="60.75" customHeight="1" thickTop="1" thickBot="1" x14ac:dyDescent="0.3">
      <c r="A257" s="560" t="s">
        <v>581</v>
      </c>
      <c r="B257" s="614"/>
      <c r="C257" s="615"/>
      <c r="D257" s="589"/>
      <c r="E257" s="56" t="s">
        <v>211</v>
      </c>
      <c r="F257" s="57" t="s">
        <v>212</v>
      </c>
      <c r="G257" s="51">
        <v>8</v>
      </c>
      <c r="H257" s="72">
        <f>'TABLA GENERAL'!D283</f>
        <v>42800</v>
      </c>
      <c r="I257" s="114">
        <f t="shared" si="163"/>
        <v>342400</v>
      </c>
      <c r="J257" s="108">
        <v>0</v>
      </c>
      <c r="K257" s="60">
        <f t="shared" si="153"/>
        <v>0</v>
      </c>
      <c r="L257" s="108">
        <v>0</v>
      </c>
      <c r="M257" s="60">
        <f t="shared" si="154"/>
        <v>0</v>
      </c>
      <c r="N257" s="108">
        <v>0</v>
      </c>
      <c r="O257" s="60">
        <f t="shared" si="154"/>
        <v>0</v>
      </c>
      <c r="P257" s="51">
        <v>4</v>
      </c>
      <c r="Q257" s="60">
        <f t="shared" si="156"/>
        <v>171200</v>
      </c>
      <c r="R257" s="18">
        <f t="shared" si="157"/>
        <v>4</v>
      </c>
      <c r="S257" s="18">
        <f t="shared" si="157"/>
        <v>171200</v>
      </c>
      <c r="U257" s="336">
        <f t="shared" si="164"/>
        <v>0</v>
      </c>
      <c r="V257" s="336">
        <f t="shared" si="165"/>
        <v>0</v>
      </c>
      <c r="W257" s="336">
        <f t="shared" si="166"/>
        <v>0</v>
      </c>
      <c r="X257" s="336">
        <f t="shared" si="167"/>
        <v>0.5</v>
      </c>
      <c r="Y257" s="338">
        <f t="shared" si="168"/>
        <v>0.5</v>
      </c>
    </row>
    <row r="258" spans="1:25" ht="17.25" thickBot="1" x14ac:dyDescent="0.3">
      <c r="A258" s="112"/>
      <c r="B258" s="112"/>
      <c r="C258" s="112"/>
      <c r="D258" s="112"/>
      <c r="E258" s="112"/>
      <c r="F258" s="112" t="s">
        <v>585</v>
      </c>
      <c r="G258" s="112"/>
      <c r="H258" s="112"/>
      <c r="I258" s="118">
        <f>SUM(I254:I257)</f>
        <v>730299.67999999993</v>
      </c>
      <c r="J258" s="112"/>
      <c r="K258" s="119">
        <f>SUM(K254:K257)</f>
        <v>0</v>
      </c>
      <c r="L258" s="112"/>
      <c r="M258" s="119">
        <f>SUM(M254:M257)</f>
        <v>0</v>
      </c>
      <c r="N258" s="112"/>
      <c r="O258" s="119">
        <f>SUM(O254:O257)</f>
        <v>0</v>
      </c>
      <c r="P258" s="112"/>
      <c r="Q258" s="119">
        <f>SUM(Q254:Q257)</f>
        <v>389449.83999999997</v>
      </c>
      <c r="R258" s="112">
        <f t="shared" si="157"/>
        <v>0</v>
      </c>
      <c r="S258" s="119">
        <f>Q258+O258+M258+K258</f>
        <v>389449.83999999997</v>
      </c>
      <c r="T258" s="14">
        <f>Q258+O258+M258+K258</f>
        <v>389449.83999999997</v>
      </c>
      <c r="U258" s="340">
        <f>AVERAGE(U254:U257)</f>
        <v>0</v>
      </c>
      <c r="V258" s="340">
        <f t="shared" ref="V258:Y258" si="169">AVERAGE(V254:V257)</f>
        <v>0</v>
      </c>
      <c r="W258" s="340">
        <f t="shared" si="169"/>
        <v>0</v>
      </c>
      <c r="X258" s="340">
        <f t="shared" si="169"/>
        <v>0.5</v>
      </c>
      <c r="Y258" s="340">
        <f t="shared" si="169"/>
        <v>0.5</v>
      </c>
    </row>
    <row r="259" spans="1:25" ht="15.75" thickBot="1" x14ac:dyDescent="0.3">
      <c r="U259" s="342">
        <f>+K258/I258</f>
        <v>0</v>
      </c>
      <c r="V259" s="342">
        <f>+M258/I258</f>
        <v>0</v>
      </c>
      <c r="W259" s="342">
        <f>+O258/I258</f>
        <v>0</v>
      </c>
      <c r="X259" s="342">
        <f>+Q258/I258</f>
        <v>0.53327401156741572</v>
      </c>
      <c r="Y259" s="342">
        <f>+S258/I258</f>
        <v>0.53327401156741572</v>
      </c>
    </row>
    <row r="260" spans="1:25" ht="47.25" customHeight="1" thickBot="1" x14ac:dyDescent="0.3">
      <c r="B260" s="620"/>
      <c r="C260" s="620"/>
      <c r="D260" s="620"/>
      <c r="E260" s="621"/>
      <c r="F260" s="617" t="s">
        <v>586</v>
      </c>
      <c r="G260" s="618"/>
      <c r="H260" s="618"/>
      <c r="I260" s="618"/>
      <c r="J260" s="618"/>
      <c r="K260" s="618"/>
      <c r="L260" s="618"/>
      <c r="M260" s="618"/>
      <c r="N260" s="618"/>
      <c r="O260" s="618"/>
      <c r="P260" s="618"/>
      <c r="Q260" s="619"/>
      <c r="R260" s="584" t="s">
        <v>227</v>
      </c>
      <c r="S260" s="585"/>
      <c r="Y260" s="326" t="s">
        <v>227</v>
      </c>
    </row>
    <row r="261" spans="1:25" ht="50.25" thickBot="1" x14ac:dyDescent="0.3">
      <c r="A261" s="314" t="s">
        <v>228</v>
      </c>
      <c r="B261" s="597" t="s">
        <v>587</v>
      </c>
      <c r="C261" s="555"/>
      <c r="D261" s="598"/>
      <c r="E261" s="314"/>
      <c r="F261" s="314" t="s">
        <v>85</v>
      </c>
      <c r="G261" s="314" t="s">
        <v>229</v>
      </c>
      <c r="H261" s="314" t="s">
        <v>123</v>
      </c>
      <c r="I261" s="113" t="s">
        <v>230</v>
      </c>
      <c r="J261" s="314">
        <v>2021</v>
      </c>
      <c r="K261" s="314" t="s">
        <v>79</v>
      </c>
      <c r="L261" s="314">
        <v>2022</v>
      </c>
      <c r="M261" s="314" t="s">
        <v>79</v>
      </c>
      <c r="N261" s="314">
        <v>2023</v>
      </c>
      <c r="O261" s="314" t="s">
        <v>79</v>
      </c>
      <c r="P261" s="314">
        <v>2025</v>
      </c>
      <c r="Q261" s="314" t="s">
        <v>79</v>
      </c>
      <c r="R261" s="314" t="s">
        <v>124</v>
      </c>
      <c r="S261" s="314" t="s">
        <v>77</v>
      </c>
      <c r="U261" s="335">
        <v>2021</v>
      </c>
      <c r="V261" s="335">
        <v>2022</v>
      </c>
      <c r="W261" s="335">
        <v>2023</v>
      </c>
      <c r="X261" s="335">
        <v>2025</v>
      </c>
      <c r="Y261" s="335" t="s">
        <v>124</v>
      </c>
    </row>
    <row r="262" spans="1:25" ht="18" customHeight="1" thickTop="1" thickBot="1" x14ac:dyDescent="0.3">
      <c r="A262" s="565" t="s">
        <v>586</v>
      </c>
      <c r="B262" s="604"/>
      <c r="C262" s="605"/>
      <c r="D262" s="606"/>
      <c r="E262" s="56" t="s">
        <v>213</v>
      </c>
      <c r="F262" s="48" t="s">
        <v>214</v>
      </c>
      <c r="G262" s="47">
        <v>1</v>
      </c>
      <c r="H262" s="72">
        <f>'TABLA GENERAL'!D288</f>
        <v>1600</v>
      </c>
      <c r="I262" s="114">
        <f>H262*G262</f>
        <v>1600</v>
      </c>
      <c r="J262" s="47">
        <v>0</v>
      </c>
      <c r="K262" s="60">
        <f t="shared" ref="K262:K266" si="170">J262*H262</f>
        <v>0</v>
      </c>
      <c r="L262" s="47">
        <v>0</v>
      </c>
      <c r="M262" s="60">
        <f t="shared" ref="M262:M266" si="171">L262*H262</f>
        <v>0</v>
      </c>
      <c r="N262" s="47">
        <v>0</v>
      </c>
      <c r="O262" s="60">
        <f t="shared" ref="O262:O266" si="172">N262*J262</f>
        <v>0</v>
      </c>
      <c r="P262" s="47">
        <v>1</v>
      </c>
      <c r="Q262" s="60">
        <f t="shared" ref="Q262:Q266" si="173">P262*H262</f>
        <v>1600</v>
      </c>
      <c r="R262" s="18">
        <f t="shared" ref="R262:S267" si="174">P262+N262+L262+J262</f>
        <v>1</v>
      </c>
      <c r="S262" s="18">
        <f t="shared" si="174"/>
        <v>1600</v>
      </c>
      <c r="U262" s="336">
        <f t="shared" ref="U262" si="175">+J262/G262</f>
        <v>0</v>
      </c>
      <c r="V262" s="336">
        <f t="shared" ref="V262" si="176">+L262/G262</f>
        <v>0</v>
      </c>
      <c r="W262" s="336">
        <f t="shared" ref="W262" si="177">+N262/G262</f>
        <v>0</v>
      </c>
      <c r="X262" s="336">
        <f t="shared" ref="X262" si="178">+P262/G262</f>
        <v>1</v>
      </c>
      <c r="Y262" s="338">
        <f t="shared" ref="Y262" si="179">+R262/G262</f>
        <v>1</v>
      </c>
    </row>
    <row r="263" spans="1:25" ht="16.5" thickTop="1" thickBot="1" x14ac:dyDescent="0.3">
      <c r="A263" s="566"/>
      <c r="B263" s="604"/>
      <c r="C263" s="605"/>
      <c r="D263" s="606"/>
      <c r="E263" s="56" t="s">
        <v>215</v>
      </c>
      <c r="F263" s="32" t="s">
        <v>216</v>
      </c>
      <c r="G263" s="15">
        <v>1</v>
      </c>
      <c r="H263" s="72">
        <f>'TABLA GENERAL'!D289</f>
        <v>3058</v>
      </c>
      <c r="I263" s="114">
        <f t="shared" ref="I263:I266" si="180">H263*G263</f>
        <v>3058</v>
      </c>
      <c r="J263" s="15">
        <v>1</v>
      </c>
      <c r="K263" s="60">
        <f t="shared" si="170"/>
        <v>3058</v>
      </c>
      <c r="L263" s="47">
        <v>0</v>
      </c>
      <c r="M263" s="60">
        <f t="shared" si="171"/>
        <v>0</v>
      </c>
      <c r="N263" s="47">
        <v>0</v>
      </c>
      <c r="O263" s="60">
        <f t="shared" si="172"/>
        <v>0</v>
      </c>
      <c r="P263" s="15">
        <v>0</v>
      </c>
      <c r="Q263" s="60">
        <f t="shared" si="173"/>
        <v>0</v>
      </c>
      <c r="R263" s="18">
        <f t="shared" si="174"/>
        <v>1</v>
      </c>
      <c r="S263" s="18">
        <f t="shared" si="174"/>
        <v>3058</v>
      </c>
      <c r="U263" s="336">
        <f t="shared" ref="U263:U266" si="181">+J263/G263</f>
        <v>1</v>
      </c>
      <c r="V263" s="336">
        <f t="shared" ref="V263:V266" si="182">+L263/G263</f>
        <v>0</v>
      </c>
      <c r="W263" s="336">
        <f t="shared" ref="W263:W266" si="183">+N263/G263</f>
        <v>0</v>
      </c>
      <c r="X263" s="336">
        <f t="shared" ref="X263:X266" si="184">+P263/G263</f>
        <v>0</v>
      </c>
      <c r="Y263" s="338">
        <f t="shared" ref="Y263:Y266" si="185">+R263/G263</f>
        <v>1</v>
      </c>
    </row>
    <row r="264" spans="1:25" ht="16.5" thickTop="1" thickBot="1" x14ac:dyDescent="0.3">
      <c r="A264" s="566"/>
      <c r="B264" s="604"/>
      <c r="C264" s="605"/>
      <c r="D264" s="606"/>
      <c r="E264" s="56" t="s">
        <v>217</v>
      </c>
      <c r="F264" s="32" t="s">
        <v>218</v>
      </c>
      <c r="G264" s="15">
        <v>4</v>
      </c>
      <c r="H264" s="72">
        <f>'TABLA GENERAL'!D290</f>
        <v>2880</v>
      </c>
      <c r="I264" s="114">
        <f t="shared" si="180"/>
        <v>11520</v>
      </c>
      <c r="J264" s="15">
        <v>4</v>
      </c>
      <c r="K264" s="60">
        <f t="shared" si="170"/>
        <v>11520</v>
      </c>
      <c r="L264" s="47">
        <v>0</v>
      </c>
      <c r="M264" s="60">
        <f t="shared" si="171"/>
        <v>0</v>
      </c>
      <c r="N264" s="47">
        <v>0</v>
      </c>
      <c r="O264" s="60">
        <f t="shared" si="172"/>
        <v>0</v>
      </c>
      <c r="P264" s="15">
        <v>0</v>
      </c>
      <c r="Q264" s="60">
        <f t="shared" si="173"/>
        <v>0</v>
      </c>
      <c r="R264" s="18">
        <f t="shared" si="174"/>
        <v>4</v>
      </c>
      <c r="S264" s="18">
        <f t="shared" si="174"/>
        <v>11520</v>
      </c>
      <c r="U264" s="336">
        <f t="shared" si="181"/>
        <v>1</v>
      </c>
      <c r="V264" s="336">
        <f t="shared" si="182"/>
        <v>0</v>
      </c>
      <c r="W264" s="336">
        <f t="shared" si="183"/>
        <v>0</v>
      </c>
      <c r="X264" s="336">
        <f t="shared" si="184"/>
        <v>0</v>
      </c>
      <c r="Y264" s="338">
        <f t="shared" si="185"/>
        <v>1</v>
      </c>
    </row>
    <row r="265" spans="1:25" ht="16.5" thickTop="1" thickBot="1" x14ac:dyDescent="0.3">
      <c r="A265" s="566"/>
      <c r="B265" s="604"/>
      <c r="C265" s="605"/>
      <c r="D265" s="606"/>
      <c r="E265" s="56" t="s">
        <v>219</v>
      </c>
      <c r="F265" s="32" t="s">
        <v>220</v>
      </c>
      <c r="G265" s="15">
        <v>1</v>
      </c>
      <c r="H265" s="72">
        <f>'TABLA GENERAL'!D291</f>
        <v>1990</v>
      </c>
      <c r="I265" s="114">
        <f t="shared" si="180"/>
        <v>1990</v>
      </c>
      <c r="J265" s="15">
        <v>0</v>
      </c>
      <c r="K265" s="60">
        <f t="shared" si="170"/>
        <v>0</v>
      </c>
      <c r="L265" s="47">
        <v>0</v>
      </c>
      <c r="M265" s="60">
        <f t="shared" si="171"/>
        <v>0</v>
      </c>
      <c r="N265" s="47">
        <v>0</v>
      </c>
      <c r="O265" s="60">
        <f t="shared" si="172"/>
        <v>0</v>
      </c>
      <c r="P265" s="15">
        <v>1</v>
      </c>
      <c r="Q265" s="60">
        <f t="shared" si="173"/>
        <v>1990</v>
      </c>
      <c r="R265" s="18">
        <f t="shared" si="174"/>
        <v>1</v>
      </c>
      <c r="S265" s="18">
        <f t="shared" si="174"/>
        <v>1990</v>
      </c>
      <c r="U265" s="336">
        <f t="shared" si="181"/>
        <v>0</v>
      </c>
      <c r="V265" s="336">
        <f t="shared" si="182"/>
        <v>0</v>
      </c>
      <c r="W265" s="336">
        <f t="shared" si="183"/>
        <v>0</v>
      </c>
      <c r="X265" s="336">
        <f t="shared" si="184"/>
        <v>1</v>
      </c>
      <c r="Y265" s="338">
        <f t="shared" si="185"/>
        <v>1</v>
      </c>
    </row>
    <row r="266" spans="1:25" ht="16.5" thickTop="1" thickBot="1" x14ac:dyDescent="0.3">
      <c r="A266" s="567"/>
      <c r="B266" s="607"/>
      <c r="C266" s="608"/>
      <c r="D266" s="609"/>
      <c r="E266" s="56" t="s">
        <v>221</v>
      </c>
      <c r="F266" s="57" t="s">
        <v>222</v>
      </c>
      <c r="G266" s="51">
        <v>1</v>
      </c>
      <c r="H266" s="72">
        <f>'TABLA GENERAL'!D292</f>
        <v>43500</v>
      </c>
      <c r="I266" s="114">
        <f t="shared" si="180"/>
        <v>43500</v>
      </c>
      <c r="J266" s="51">
        <v>1</v>
      </c>
      <c r="K266" s="60">
        <f t="shared" si="170"/>
        <v>43500</v>
      </c>
      <c r="L266" s="47">
        <v>0</v>
      </c>
      <c r="M266" s="60">
        <f t="shared" si="171"/>
        <v>0</v>
      </c>
      <c r="N266" s="47">
        <v>0</v>
      </c>
      <c r="O266" s="60">
        <f t="shared" si="172"/>
        <v>0</v>
      </c>
      <c r="P266" s="51">
        <v>0</v>
      </c>
      <c r="Q266" s="60">
        <f t="shared" si="173"/>
        <v>0</v>
      </c>
      <c r="R266" s="18">
        <f t="shared" si="174"/>
        <v>1</v>
      </c>
      <c r="S266" s="18">
        <f t="shared" si="174"/>
        <v>43500</v>
      </c>
      <c r="U266" s="336">
        <f t="shared" si="181"/>
        <v>1</v>
      </c>
      <c r="V266" s="336">
        <f t="shared" si="182"/>
        <v>0</v>
      </c>
      <c r="W266" s="336">
        <f t="shared" si="183"/>
        <v>0</v>
      </c>
      <c r="X266" s="336">
        <f t="shared" si="184"/>
        <v>0</v>
      </c>
      <c r="Y266" s="338">
        <f t="shared" si="185"/>
        <v>1</v>
      </c>
    </row>
    <row r="267" spans="1:25" ht="17.25" thickBot="1" x14ac:dyDescent="0.3">
      <c r="A267" s="112"/>
      <c r="B267" s="112"/>
      <c r="C267" s="112"/>
      <c r="D267" s="112"/>
      <c r="E267" s="112"/>
      <c r="F267" s="112" t="s">
        <v>588</v>
      </c>
      <c r="G267" s="112"/>
      <c r="H267" s="112"/>
      <c r="I267" s="118">
        <f>SUM(I262:I266)</f>
        <v>61668</v>
      </c>
      <c r="J267" s="112"/>
      <c r="K267" s="119">
        <f>SUM(K262:K266)</f>
        <v>58078</v>
      </c>
      <c r="L267" s="112"/>
      <c r="M267" s="119">
        <f>SUM(M262:M266)</f>
        <v>0</v>
      </c>
      <c r="N267" s="112"/>
      <c r="O267" s="119">
        <f>SUM(O262:O266)</f>
        <v>0</v>
      </c>
      <c r="P267" s="112"/>
      <c r="Q267" s="119">
        <f>SUM(Q262:Q266)</f>
        <v>3590</v>
      </c>
      <c r="R267" s="112">
        <f t="shared" si="174"/>
        <v>0</v>
      </c>
      <c r="S267" s="119">
        <f>Q267+O267+M267+K267</f>
        <v>61668</v>
      </c>
      <c r="T267" s="14">
        <f>Q267+O267+M267+K267</f>
        <v>61668</v>
      </c>
      <c r="U267" s="340">
        <f>AVERAGE(U262:U266)</f>
        <v>0.6</v>
      </c>
      <c r="V267" s="340">
        <f t="shared" ref="V267:Y267" si="186">AVERAGE(V262:V266)</f>
        <v>0</v>
      </c>
      <c r="W267" s="340">
        <f t="shared" si="186"/>
        <v>0</v>
      </c>
      <c r="X267" s="340">
        <f t="shared" si="186"/>
        <v>0.4</v>
      </c>
      <c r="Y267" s="340">
        <f t="shared" si="186"/>
        <v>1</v>
      </c>
    </row>
    <row r="268" spans="1:25" x14ac:dyDescent="0.25">
      <c r="U268" s="342">
        <f>+K267/I267</f>
        <v>0.94178504248556782</v>
      </c>
      <c r="V268" s="342">
        <f>+M267/I267</f>
        <v>0</v>
      </c>
      <c r="W268" s="342">
        <f>+O267/I267</f>
        <v>0</v>
      </c>
      <c r="X268" s="342">
        <f>+Q267/I267</f>
        <v>5.821495751443212E-2</v>
      </c>
      <c r="Y268" s="342">
        <f>+S267/I267</f>
        <v>1</v>
      </c>
    </row>
    <row r="269" spans="1:25" ht="15.75" thickBot="1" x14ac:dyDescent="0.3"/>
    <row r="270" spans="1:25" ht="19.5" thickBot="1" x14ac:dyDescent="0.35">
      <c r="A270" s="132"/>
      <c r="B270" s="132"/>
      <c r="C270" s="132"/>
      <c r="D270" s="132"/>
      <c r="E270" s="132"/>
      <c r="F270" s="592"/>
      <c r="G270" s="593"/>
      <c r="H270" s="593"/>
      <c r="I270" s="594"/>
      <c r="J270" s="592" t="s">
        <v>225</v>
      </c>
      <c r="K270" s="593"/>
      <c r="L270" s="593"/>
      <c r="M270" s="593"/>
      <c r="N270" s="593"/>
      <c r="O270" s="594"/>
      <c r="P270" s="592" t="s">
        <v>226</v>
      </c>
      <c r="Q270" s="594"/>
      <c r="R270" s="584" t="s">
        <v>227</v>
      </c>
      <c r="S270" s="585"/>
      <c r="U270" s="592" t="s">
        <v>225</v>
      </c>
      <c r="V270" s="593"/>
      <c r="W270" s="593"/>
      <c r="X270" s="331" t="s">
        <v>226</v>
      </c>
      <c r="Y270" s="326" t="s">
        <v>227</v>
      </c>
    </row>
    <row r="271" spans="1:25" ht="60" customHeight="1" thickBot="1" x14ac:dyDescent="0.3">
      <c r="A271" s="586" t="s">
        <v>589</v>
      </c>
      <c r="B271" s="587"/>
      <c r="C271" s="587"/>
      <c r="D271" s="587"/>
      <c r="E271" s="587"/>
      <c r="F271" s="588"/>
      <c r="G271" s="592" t="s">
        <v>230</v>
      </c>
      <c r="H271" s="593"/>
      <c r="I271" s="594"/>
      <c r="J271" s="595">
        <v>2021</v>
      </c>
      <c r="K271" s="596"/>
      <c r="L271" s="595">
        <v>2022</v>
      </c>
      <c r="M271" s="596"/>
      <c r="N271" s="595">
        <v>2023</v>
      </c>
      <c r="O271" s="596"/>
      <c r="P271" s="595">
        <v>2025</v>
      </c>
      <c r="Q271" s="596"/>
      <c r="R271" s="597" t="s">
        <v>77</v>
      </c>
      <c r="S271" s="598"/>
      <c r="U271" s="332">
        <v>2021</v>
      </c>
      <c r="V271" s="332">
        <v>2022</v>
      </c>
      <c r="W271" s="332">
        <v>2023</v>
      </c>
      <c r="X271" s="332">
        <v>2025</v>
      </c>
      <c r="Y271" s="329" t="s">
        <v>77</v>
      </c>
    </row>
    <row r="272" spans="1:25" ht="33" customHeight="1" thickBot="1" x14ac:dyDescent="0.3">
      <c r="A272" s="589"/>
      <c r="B272" s="590"/>
      <c r="C272" s="590"/>
      <c r="D272" s="590"/>
      <c r="E272" s="590"/>
      <c r="F272" s="591"/>
      <c r="G272" s="599">
        <f>(S39+S132+S167+S198+S212+S217+S232+S240+S245+S250+S258+S267)</f>
        <v>11858902.253076922</v>
      </c>
      <c r="H272" s="600"/>
      <c r="I272" s="133"/>
      <c r="J272" s="599">
        <v>2550000</v>
      </c>
      <c r="K272" s="601"/>
      <c r="L272" s="599">
        <v>2500000</v>
      </c>
      <c r="M272" s="601"/>
      <c r="N272" s="599">
        <v>2500000</v>
      </c>
      <c r="O272" s="601"/>
      <c r="P272" s="599">
        <v>4300000</v>
      </c>
      <c r="Q272" s="601"/>
      <c r="R272" s="602">
        <f>P272+N272+L272+J272</f>
        <v>11850000</v>
      </c>
      <c r="S272" s="603"/>
      <c r="T272" s="14">
        <f>T267+T258+T250+T245+T240+T232+T217+T212+T198+T167+T132+T39</f>
        <v>11858902.253076922</v>
      </c>
      <c r="U272" s="343">
        <f>2.55/11.85</f>
        <v>0.2151898734177215</v>
      </c>
      <c r="V272" s="343">
        <f>2.5/11.85</f>
        <v>0.2109704641350211</v>
      </c>
      <c r="W272" s="343">
        <f>2.5/11.85</f>
        <v>0.2109704641350211</v>
      </c>
      <c r="X272" s="343">
        <f>4.3/11.85</f>
        <v>0.3628691983122363</v>
      </c>
      <c r="Y272" s="344">
        <v>1</v>
      </c>
    </row>
    <row r="273" spans="9:25" x14ac:dyDescent="0.25">
      <c r="I273"/>
      <c r="K273" s="14">
        <f>K267+K258+K250+K245+K240+K232+K217+K212+K198+K167+K132+K39</f>
        <v>2559960.6</v>
      </c>
      <c r="M273" s="14">
        <f>M267+M258+M250+M245+M240+M232+M217+M212+M198+M167+M132+M39</f>
        <v>2584654.89</v>
      </c>
      <c r="O273" s="14">
        <f>O267+O258+O250+O245+O240+O232+O217+O212+O198+O167+O132+O39</f>
        <v>2511625.2000000002</v>
      </c>
      <c r="Q273" s="14">
        <f>Q267+Q258+Q250+Q245+Q240+Q232+Q217+Q212+Q198+Q167+Q132+Q39</f>
        <v>4202661.5630769236</v>
      </c>
    </row>
    <row r="274" spans="9:25" x14ac:dyDescent="0.25">
      <c r="I274"/>
      <c r="K274" s="14">
        <f>J272-K273</f>
        <v>-9960.6000000000931</v>
      </c>
      <c r="M274" s="14">
        <f>L272-M273</f>
        <v>-84654.89000000013</v>
      </c>
      <c r="O274" s="14">
        <f>N272-O273</f>
        <v>-11625.200000000186</v>
      </c>
      <c r="Q274" s="14">
        <f>P272-Q273</f>
        <v>97338.436923076399</v>
      </c>
    </row>
    <row r="275" spans="9:25" ht="15.75" thickBot="1" x14ac:dyDescent="0.3">
      <c r="U275" s="692" t="s">
        <v>769</v>
      </c>
      <c r="V275" s="692"/>
      <c r="W275" s="692"/>
      <c r="X275" s="692"/>
      <c r="Y275" s="692"/>
    </row>
    <row r="276" spans="9:25" ht="49.5" x14ac:dyDescent="0.25">
      <c r="I276"/>
      <c r="Q276" s="14">
        <f>-1*(Q274+O274+M274+K274)</f>
        <v>8902.2530769240111</v>
      </c>
      <c r="S276" s="14">
        <f>T272-R272</f>
        <v>8902.2530769221485</v>
      </c>
      <c r="T276" s="327"/>
      <c r="U276" s="347">
        <v>2021</v>
      </c>
      <c r="V276" s="347">
        <v>2022</v>
      </c>
      <c r="W276" s="346">
        <v>2023</v>
      </c>
      <c r="X276" s="347">
        <v>2025</v>
      </c>
      <c r="Y276" s="330" t="s">
        <v>77</v>
      </c>
    </row>
    <row r="277" spans="9:25" ht="14.45" hidden="1" x14ac:dyDescent="0.3">
      <c r="T277" s="345" t="s">
        <v>770</v>
      </c>
      <c r="U277" s="348">
        <f>+AVERAGE(U267,U258,U249,U244,U240,U232,U217,U212,U198,U167,U132,U39)</f>
        <v>0.15396633067564133</v>
      </c>
      <c r="V277" s="348">
        <f t="shared" ref="V277:Y277" si="187">+AVERAGE(V268,V259,V249,V244,V240,V232,V217,V212,V198,V167,V132,V39)</f>
        <v>0.10669491220474325</v>
      </c>
      <c r="W277" s="351">
        <f t="shared" si="187"/>
        <v>5.0909329620916925E-2</v>
      </c>
      <c r="X277" s="348">
        <f t="shared" si="187"/>
        <v>0.36547881654839065</v>
      </c>
      <c r="Y277" s="353">
        <f t="shared" si="187"/>
        <v>0.70553147592348964</v>
      </c>
    </row>
    <row r="278" spans="9:25" ht="14.45" hidden="1" x14ac:dyDescent="0.3">
      <c r="T278" s="345" t="s">
        <v>771</v>
      </c>
      <c r="U278" s="348">
        <f>+AVERAGE(U268,U259,U251,U246,U241,U233,U218,U213,U199,U168,U133,U40)</f>
        <v>0.17794730339629386</v>
      </c>
      <c r="V278" s="348">
        <f t="shared" ref="V278:Y278" si="188">+AVERAGE(V268,V259,V251,V246,V241,V233,V218,V213,V199,V168,V133,V40)</f>
        <v>0.11107362201580562</v>
      </c>
      <c r="W278" s="351">
        <f t="shared" si="188"/>
        <v>8.3688510097369453E-2</v>
      </c>
      <c r="X278" s="348">
        <f t="shared" si="188"/>
        <v>0.3082512272107456</v>
      </c>
      <c r="Y278" s="353">
        <f t="shared" si="188"/>
        <v>0.6809606627202146</v>
      </c>
    </row>
    <row r="279" spans="9:25" ht="15.75" thickBot="1" x14ac:dyDescent="0.3">
      <c r="T279" s="350" t="s">
        <v>772</v>
      </c>
      <c r="U279" s="349">
        <f>AVERAGE(U277,U278)</f>
        <v>0.1659568170359676</v>
      </c>
      <c r="V279" s="349">
        <f t="shared" ref="V279:Y279" si="189">AVERAGE(V277,V278)</f>
        <v>0.10888426711027444</v>
      </c>
      <c r="W279" s="352">
        <f t="shared" si="189"/>
        <v>6.7298919859143186E-2</v>
      </c>
      <c r="X279" s="349">
        <f t="shared" si="189"/>
        <v>0.33686502187956813</v>
      </c>
      <c r="Y279" s="354">
        <f t="shared" si="189"/>
        <v>0.69324606932185207</v>
      </c>
    </row>
  </sheetData>
  <mergeCells count="93">
    <mergeCell ref="U275:Y275"/>
    <mergeCell ref="U270:W270"/>
    <mergeCell ref="U2:W2"/>
    <mergeCell ref="U3:W3"/>
    <mergeCell ref="J270:O270"/>
    <mergeCell ref="P270:Q270"/>
    <mergeCell ref="R270:S270"/>
    <mergeCell ref="P271:Q271"/>
    <mergeCell ref="R271:S271"/>
    <mergeCell ref="P272:Q272"/>
    <mergeCell ref="R272:S272"/>
    <mergeCell ref="R200:S200"/>
    <mergeCell ref="F170:Q170"/>
    <mergeCell ref="R170:S170"/>
    <mergeCell ref="F135:Q135"/>
    <mergeCell ref="R135:S135"/>
    <mergeCell ref="A271:F272"/>
    <mergeCell ref="G271:I271"/>
    <mergeCell ref="J271:K271"/>
    <mergeCell ref="L271:M271"/>
    <mergeCell ref="N271:O271"/>
    <mergeCell ref="G272:H272"/>
    <mergeCell ref="J272:K272"/>
    <mergeCell ref="L272:M272"/>
    <mergeCell ref="N272:O272"/>
    <mergeCell ref="R242:S242"/>
    <mergeCell ref="B261:D266"/>
    <mergeCell ref="A262:A266"/>
    <mergeCell ref="F247:Q247"/>
    <mergeCell ref="R247:S247"/>
    <mergeCell ref="B248:D249"/>
    <mergeCell ref="F252:Q252"/>
    <mergeCell ref="R252:S252"/>
    <mergeCell ref="B253:C257"/>
    <mergeCell ref="A254:A257"/>
    <mergeCell ref="D254:D257"/>
    <mergeCell ref="B260:E260"/>
    <mergeCell ref="F260:Q260"/>
    <mergeCell ref="R260:S260"/>
    <mergeCell ref="B236:D239"/>
    <mergeCell ref="A237:A239"/>
    <mergeCell ref="F270:I270"/>
    <mergeCell ref="B243:D244"/>
    <mergeCell ref="F219:Q219"/>
    <mergeCell ref="B220:D231"/>
    <mergeCell ref="A242:E242"/>
    <mergeCell ref="F242:Q242"/>
    <mergeCell ref="F214:Q214"/>
    <mergeCell ref="R214:S214"/>
    <mergeCell ref="F200:Q200"/>
    <mergeCell ref="A221:A231"/>
    <mergeCell ref="F235:Q235"/>
    <mergeCell ref="R235:S235"/>
    <mergeCell ref="R219:S219"/>
    <mergeCell ref="A137:A166"/>
    <mergeCell ref="B137:B166"/>
    <mergeCell ref="C137:D160"/>
    <mergeCell ref="C161:D166"/>
    <mergeCell ref="B215:D217"/>
    <mergeCell ref="A172:A197"/>
    <mergeCell ref="B172:B197"/>
    <mergeCell ref="C172:D179"/>
    <mergeCell ref="C180:D191"/>
    <mergeCell ref="C192:D197"/>
    <mergeCell ref="B201:D210"/>
    <mergeCell ref="A202:A211"/>
    <mergeCell ref="B103:B130"/>
    <mergeCell ref="C103:D103"/>
    <mergeCell ref="C104:C131"/>
    <mergeCell ref="D104:D121"/>
    <mergeCell ref="D122:D131"/>
    <mergeCell ref="F42:Q42"/>
    <mergeCell ref="R42:S42"/>
    <mergeCell ref="B43:B102"/>
    <mergeCell ref="C44:D56"/>
    <mergeCell ref="C57:D102"/>
    <mergeCell ref="A5:A38"/>
    <mergeCell ref="B5:B39"/>
    <mergeCell ref="C5:C22"/>
    <mergeCell ref="D5:D15"/>
    <mergeCell ref="D16:D22"/>
    <mergeCell ref="C23:C33"/>
    <mergeCell ref="D23:D26"/>
    <mergeCell ref="D27:D28"/>
    <mergeCell ref="D29:D30"/>
    <mergeCell ref="D31:D33"/>
    <mergeCell ref="C34:D38"/>
    <mergeCell ref="B1:S1"/>
    <mergeCell ref="J2:O2"/>
    <mergeCell ref="P2:Q2"/>
    <mergeCell ref="J3:O3"/>
    <mergeCell ref="P3:Q3"/>
    <mergeCell ref="R3:S3"/>
  </mergeCells>
  <pageMargins left="0.7" right="0.7" top="0.75" bottom="0.75" header="0.3" footer="0.3"/>
  <pageSetup scale="65" orientation="landscape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5"/>
  <sheetViews>
    <sheetView topLeftCell="E64" zoomScale="90" zoomScaleNormal="90" workbookViewId="0">
      <selection activeCell="E80" sqref="E80"/>
    </sheetView>
  </sheetViews>
  <sheetFormatPr baseColWidth="10" defaultRowHeight="15" x14ac:dyDescent="0.25"/>
  <cols>
    <col min="1" max="1" width="15.7109375" hidden="1" customWidth="1"/>
    <col min="2" max="2" width="8.28515625" customWidth="1"/>
    <col min="3" max="3" width="19" customWidth="1"/>
    <col min="4" max="4" width="30" customWidth="1"/>
    <col min="5" max="5" width="7.7109375" customWidth="1"/>
    <col min="6" max="6" width="51.5703125" customWidth="1"/>
    <col min="7" max="7" width="18.7109375" hidden="1" customWidth="1"/>
    <col min="8" max="8" width="16.7109375" hidden="1" customWidth="1"/>
    <col min="9" max="9" width="18.28515625" style="111" customWidth="1"/>
    <col min="10" max="10" width="9.28515625" customWidth="1"/>
    <col min="11" max="11" width="18.28515625" customWidth="1"/>
    <col min="12" max="12" width="11.42578125" customWidth="1"/>
    <col min="13" max="13" width="18.28515625" customWidth="1"/>
    <col min="14" max="14" width="9.42578125" customWidth="1"/>
    <col min="15" max="15" width="18" customWidth="1"/>
    <col min="16" max="16" width="20.28515625" customWidth="1"/>
    <col min="17" max="17" width="13" bestFit="1" customWidth="1"/>
  </cols>
  <sheetData>
    <row r="1" spans="1:17" ht="26.25" customHeight="1" thickBot="1" x14ac:dyDescent="0.35">
      <c r="B1" s="699" t="s">
        <v>224</v>
      </c>
      <c r="C1" s="700"/>
      <c r="D1" s="700"/>
      <c r="E1" s="700"/>
      <c r="F1" s="700"/>
      <c r="G1" s="700"/>
      <c r="H1" s="700"/>
      <c r="I1" s="700"/>
      <c r="J1" s="700"/>
      <c r="K1" s="700"/>
      <c r="L1" s="700"/>
      <c r="M1" s="700"/>
      <c r="N1" s="700"/>
      <c r="O1" s="700"/>
      <c r="P1" s="700"/>
      <c r="Q1" s="701"/>
    </row>
    <row r="2" spans="1:17" hidden="1" thickBot="1" x14ac:dyDescent="0.35">
      <c r="J2" s="531" t="s">
        <v>225</v>
      </c>
      <c r="K2" s="531"/>
      <c r="L2" s="531"/>
      <c r="M2" s="531"/>
      <c r="N2" s="531"/>
      <c r="O2" s="531"/>
    </row>
    <row r="3" spans="1:17" hidden="1" thickBot="1" x14ac:dyDescent="0.35">
      <c r="B3" s="195"/>
      <c r="C3" s="195"/>
      <c r="D3" s="195"/>
      <c r="E3" s="195"/>
      <c r="F3" s="195"/>
      <c r="G3" s="195"/>
      <c r="H3" s="195"/>
      <c r="I3" s="282"/>
      <c r="J3" s="663" t="s">
        <v>225</v>
      </c>
      <c r="K3" s="664"/>
      <c r="L3" s="664"/>
      <c r="M3" s="664"/>
      <c r="N3" s="664"/>
      <c r="O3" s="664"/>
      <c r="P3" s="664"/>
      <c r="Q3" s="665"/>
    </row>
    <row r="4" spans="1:17" ht="28.15" thickBot="1" x14ac:dyDescent="0.35">
      <c r="A4" s="314" t="s">
        <v>228</v>
      </c>
      <c r="B4" s="314"/>
      <c r="C4" s="112"/>
      <c r="D4" s="314"/>
      <c r="E4" s="314"/>
      <c r="F4" s="314" t="s">
        <v>85</v>
      </c>
      <c r="G4" s="314" t="s">
        <v>229</v>
      </c>
      <c r="H4" s="314" t="s">
        <v>123</v>
      </c>
      <c r="I4" s="113" t="s">
        <v>230</v>
      </c>
      <c r="J4" s="314">
        <v>2021</v>
      </c>
      <c r="K4" s="314" t="s">
        <v>79</v>
      </c>
      <c r="L4" s="314">
        <v>2022</v>
      </c>
      <c r="M4" s="314" t="s">
        <v>79</v>
      </c>
      <c r="N4" s="314">
        <v>2023</v>
      </c>
      <c r="O4" s="314" t="s">
        <v>79</v>
      </c>
      <c r="P4" s="314" t="s">
        <v>756</v>
      </c>
      <c r="Q4" s="314" t="s">
        <v>79</v>
      </c>
    </row>
    <row r="5" spans="1:17" ht="30.75" thickBot="1" x14ac:dyDescent="0.3">
      <c r="A5" s="550" t="s">
        <v>224</v>
      </c>
      <c r="B5" s="551" t="s">
        <v>231</v>
      </c>
      <c r="C5" s="550" t="s">
        <v>232</v>
      </c>
      <c r="D5" s="550" t="s">
        <v>233</v>
      </c>
      <c r="E5" s="47" t="s">
        <v>234</v>
      </c>
      <c r="F5" s="48" t="s">
        <v>235</v>
      </c>
      <c r="G5" s="47">
        <v>2</v>
      </c>
      <c r="H5" s="72">
        <f>'TABLA GENERAL'!D3</f>
        <v>35321</v>
      </c>
      <c r="I5" s="114">
        <v>70642</v>
      </c>
      <c r="J5" s="47">
        <v>0</v>
      </c>
      <c r="K5" s="60">
        <f>J5*H5</f>
        <v>0</v>
      </c>
      <c r="L5" s="47">
        <v>1</v>
      </c>
      <c r="M5" s="60">
        <f>L5*H5</f>
        <v>35321</v>
      </c>
      <c r="N5" s="47">
        <v>0</v>
      </c>
      <c r="O5" s="60">
        <f>N5*H5</f>
        <v>0</v>
      </c>
      <c r="P5" s="47">
        <f>+N5+L5+J5</f>
        <v>1</v>
      </c>
      <c r="Q5" s="60">
        <f>+P5*H5</f>
        <v>35321</v>
      </c>
    </row>
    <row r="6" spans="1:17" ht="15.75" thickBot="1" x14ac:dyDescent="0.3">
      <c r="A6" s="551"/>
      <c r="B6" s="551"/>
      <c r="C6" s="551"/>
      <c r="D6" s="551"/>
      <c r="E6" s="47" t="s">
        <v>236</v>
      </c>
      <c r="F6" s="32" t="s">
        <v>237</v>
      </c>
      <c r="G6" s="15">
        <v>2</v>
      </c>
      <c r="H6" s="59">
        <f>'TABLA GENERAL'!D4</f>
        <v>17579</v>
      </c>
      <c r="I6" s="115">
        <v>35158</v>
      </c>
      <c r="J6" s="15">
        <v>0</v>
      </c>
      <c r="K6" s="60">
        <f t="shared" ref="K6:K38" si="0">J6*H6</f>
        <v>0</v>
      </c>
      <c r="L6" s="15">
        <v>1</v>
      </c>
      <c r="M6" s="60">
        <f t="shared" ref="M6:M38" si="1">L6*H6</f>
        <v>17579</v>
      </c>
      <c r="N6" s="15">
        <v>0</v>
      </c>
      <c r="O6" s="60">
        <f t="shared" ref="O6:O38" si="2">N6*H6</f>
        <v>0</v>
      </c>
      <c r="P6" s="47">
        <f t="shared" ref="P6:P38" si="3">+N6+L6+J6</f>
        <v>1</v>
      </c>
      <c r="Q6" s="60">
        <f t="shared" ref="Q6:Q38" si="4">+P6*H6</f>
        <v>17579</v>
      </c>
    </row>
    <row r="7" spans="1:17" ht="15.75" thickBot="1" x14ac:dyDescent="0.3">
      <c r="A7" s="551"/>
      <c r="B7" s="551"/>
      <c r="C7" s="551"/>
      <c r="D7" s="551"/>
      <c r="E7" s="47" t="s">
        <v>238</v>
      </c>
      <c r="F7" s="32" t="s">
        <v>239</v>
      </c>
      <c r="G7" s="15">
        <v>2</v>
      </c>
      <c r="H7" s="59">
        <f>'TABLA GENERAL'!D5</f>
        <v>24779</v>
      </c>
      <c r="I7" s="115">
        <v>49558</v>
      </c>
      <c r="J7" s="15">
        <v>0</v>
      </c>
      <c r="K7" s="60">
        <f t="shared" si="0"/>
        <v>0</v>
      </c>
      <c r="L7" s="15">
        <v>1</v>
      </c>
      <c r="M7" s="60">
        <f t="shared" si="1"/>
        <v>24779</v>
      </c>
      <c r="N7" s="15">
        <v>0</v>
      </c>
      <c r="O7" s="60">
        <f t="shared" si="2"/>
        <v>0</v>
      </c>
      <c r="P7" s="47">
        <f t="shared" si="3"/>
        <v>1</v>
      </c>
      <c r="Q7" s="60">
        <f t="shared" si="4"/>
        <v>24779</v>
      </c>
    </row>
    <row r="8" spans="1:17" ht="15.75" thickBot="1" x14ac:dyDescent="0.3">
      <c r="A8" s="551"/>
      <c r="B8" s="551"/>
      <c r="C8" s="551"/>
      <c r="D8" s="551"/>
      <c r="E8" s="47" t="s">
        <v>240</v>
      </c>
      <c r="F8" s="32" t="s">
        <v>241</v>
      </c>
      <c r="G8" s="15">
        <v>2</v>
      </c>
      <c r="H8" s="59">
        <f>'TABLA GENERAL'!D6</f>
        <v>22458</v>
      </c>
      <c r="I8" s="115">
        <v>44916</v>
      </c>
      <c r="J8" s="15">
        <v>0</v>
      </c>
      <c r="K8" s="60">
        <f t="shared" si="0"/>
        <v>0</v>
      </c>
      <c r="L8" s="15">
        <v>1</v>
      </c>
      <c r="M8" s="60">
        <f t="shared" si="1"/>
        <v>22458</v>
      </c>
      <c r="N8" s="15">
        <v>0</v>
      </c>
      <c r="O8" s="60">
        <f t="shared" si="2"/>
        <v>0</v>
      </c>
      <c r="P8" s="47">
        <f t="shared" si="3"/>
        <v>1</v>
      </c>
      <c r="Q8" s="60">
        <f t="shared" si="4"/>
        <v>22458</v>
      </c>
    </row>
    <row r="9" spans="1:17" ht="30.75" thickBot="1" x14ac:dyDescent="0.3">
      <c r="A9" s="551"/>
      <c r="B9" s="551"/>
      <c r="C9" s="551"/>
      <c r="D9" s="551"/>
      <c r="E9" s="47" t="s">
        <v>242</v>
      </c>
      <c r="F9" s="32" t="s">
        <v>243</v>
      </c>
      <c r="G9" s="15">
        <v>2</v>
      </c>
      <c r="H9" s="59">
        <f>'TABLA GENERAL'!D7</f>
        <v>63048</v>
      </c>
      <c r="I9" s="115">
        <v>126096</v>
      </c>
      <c r="J9" s="15">
        <v>0</v>
      </c>
      <c r="K9" s="60">
        <f t="shared" si="0"/>
        <v>0</v>
      </c>
      <c r="L9" s="15">
        <v>1</v>
      </c>
      <c r="M9" s="60">
        <f t="shared" si="1"/>
        <v>63048</v>
      </c>
      <c r="N9" s="47">
        <v>0</v>
      </c>
      <c r="O9" s="60">
        <f t="shared" si="2"/>
        <v>0</v>
      </c>
      <c r="P9" s="47">
        <f t="shared" si="3"/>
        <v>1</v>
      </c>
      <c r="Q9" s="60">
        <f t="shared" si="4"/>
        <v>63048</v>
      </c>
    </row>
    <row r="10" spans="1:17" ht="30.75" thickBot="1" x14ac:dyDescent="0.3">
      <c r="A10" s="551"/>
      <c r="B10" s="551"/>
      <c r="C10" s="551"/>
      <c r="D10" s="551"/>
      <c r="E10" s="47" t="s">
        <v>244</v>
      </c>
      <c r="F10" s="32" t="s">
        <v>245</v>
      </c>
      <c r="G10" s="15">
        <v>2</v>
      </c>
      <c r="H10" s="59">
        <f>'TABLA GENERAL'!D8</f>
        <v>81814</v>
      </c>
      <c r="I10" s="115">
        <v>163628</v>
      </c>
      <c r="J10" s="15">
        <v>0</v>
      </c>
      <c r="K10" s="60">
        <f t="shared" si="0"/>
        <v>0</v>
      </c>
      <c r="L10" s="15">
        <v>1</v>
      </c>
      <c r="M10" s="60">
        <f t="shared" si="1"/>
        <v>81814</v>
      </c>
      <c r="N10" s="15">
        <v>0</v>
      </c>
      <c r="O10" s="60">
        <f t="shared" si="2"/>
        <v>0</v>
      </c>
      <c r="P10" s="47">
        <f t="shared" si="3"/>
        <v>1</v>
      </c>
      <c r="Q10" s="60">
        <f t="shared" si="4"/>
        <v>81814</v>
      </c>
    </row>
    <row r="11" spans="1:17" ht="15.75" thickBot="1" x14ac:dyDescent="0.3">
      <c r="A11" s="551"/>
      <c r="B11" s="551"/>
      <c r="C11" s="551"/>
      <c r="D11" s="551"/>
      <c r="E11" s="47" t="s">
        <v>246</v>
      </c>
      <c r="F11" s="32" t="s">
        <v>247</v>
      </c>
      <c r="G11" s="15">
        <v>16</v>
      </c>
      <c r="H11" s="59">
        <f>'TABLA GENERAL'!D9</f>
        <v>141</v>
      </c>
      <c r="I11" s="115">
        <v>2256</v>
      </c>
      <c r="J11" s="15">
        <v>10</v>
      </c>
      <c r="K11" s="60">
        <f t="shared" si="0"/>
        <v>1410</v>
      </c>
      <c r="L11" s="15">
        <v>0</v>
      </c>
      <c r="M11" s="60">
        <f t="shared" si="1"/>
        <v>0</v>
      </c>
      <c r="N11" s="15">
        <v>0</v>
      </c>
      <c r="O11" s="60">
        <f t="shared" si="2"/>
        <v>0</v>
      </c>
      <c r="P11" s="47">
        <f t="shared" si="3"/>
        <v>10</v>
      </c>
      <c r="Q11" s="60">
        <f t="shared" si="4"/>
        <v>1410</v>
      </c>
    </row>
    <row r="12" spans="1:17" ht="15.75" thickBot="1" x14ac:dyDescent="0.3">
      <c r="A12" s="551"/>
      <c r="B12" s="551"/>
      <c r="C12" s="551"/>
      <c r="D12" s="551"/>
      <c r="E12" s="47" t="s">
        <v>248</v>
      </c>
      <c r="F12" s="32" t="s">
        <v>249</v>
      </c>
      <c r="G12" s="15">
        <v>16</v>
      </c>
      <c r="H12" s="59">
        <f>'TABLA GENERAL'!D10</f>
        <v>6243</v>
      </c>
      <c r="I12" s="115">
        <v>99888</v>
      </c>
      <c r="J12" s="15">
        <v>10</v>
      </c>
      <c r="K12" s="60">
        <f t="shared" si="0"/>
        <v>62430</v>
      </c>
      <c r="L12" s="15">
        <v>2</v>
      </c>
      <c r="M12" s="60">
        <f t="shared" si="1"/>
        <v>12486</v>
      </c>
      <c r="N12" s="15">
        <v>0</v>
      </c>
      <c r="O12" s="60">
        <f t="shared" si="2"/>
        <v>0</v>
      </c>
      <c r="P12" s="47">
        <f t="shared" si="3"/>
        <v>12</v>
      </c>
      <c r="Q12" s="60">
        <f t="shared" si="4"/>
        <v>74916</v>
      </c>
    </row>
    <row r="13" spans="1:17" ht="15.75" thickBot="1" x14ac:dyDescent="0.3">
      <c r="A13" s="551"/>
      <c r="B13" s="551"/>
      <c r="C13" s="551"/>
      <c r="D13" s="551"/>
      <c r="E13" s="47" t="s">
        <v>250</v>
      </c>
      <c r="F13" s="32" t="s">
        <v>251</v>
      </c>
      <c r="G13" s="15">
        <v>10</v>
      </c>
      <c r="H13" s="59">
        <f>'TABLA GENERAL'!D11</f>
        <v>6877</v>
      </c>
      <c r="I13" s="115">
        <v>68770</v>
      </c>
      <c r="J13" s="15">
        <v>10</v>
      </c>
      <c r="K13" s="60">
        <f t="shared" si="0"/>
        <v>68770</v>
      </c>
      <c r="L13" s="15">
        <v>0</v>
      </c>
      <c r="M13" s="60">
        <f t="shared" si="1"/>
        <v>0</v>
      </c>
      <c r="N13" s="47">
        <v>0</v>
      </c>
      <c r="O13" s="60">
        <f t="shared" si="2"/>
        <v>0</v>
      </c>
      <c r="P13" s="47">
        <f t="shared" si="3"/>
        <v>10</v>
      </c>
      <c r="Q13" s="60">
        <f t="shared" si="4"/>
        <v>68770</v>
      </c>
    </row>
    <row r="14" spans="1:17" ht="15.75" thickBot="1" x14ac:dyDescent="0.3">
      <c r="A14" s="551"/>
      <c r="B14" s="551"/>
      <c r="C14" s="551"/>
      <c r="D14" s="551"/>
      <c r="E14" s="47" t="s">
        <v>252</v>
      </c>
      <c r="F14" s="32" t="s">
        <v>253</v>
      </c>
      <c r="G14" s="15">
        <v>2</v>
      </c>
      <c r="H14" s="59">
        <f>'TABLA GENERAL'!D16</f>
        <v>27035</v>
      </c>
      <c r="I14" s="115">
        <v>54070</v>
      </c>
      <c r="J14" s="15">
        <v>1</v>
      </c>
      <c r="K14" s="60">
        <f t="shared" si="0"/>
        <v>27035</v>
      </c>
      <c r="L14" s="15">
        <v>0</v>
      </c>
      <c r="M14" s="60">
        <f t="shared" si="1"/>
        <v>0</v>
      </c>
      <c r="N14" s="15">
        <v>0</v>
      </c>
      <c r="O14" s="60">
        <f t="shared" si="2"/>
        <v>0</v>
      </c>
      <c r="P14" s="47">
        <f t="shared" si="3"/>
        <v>1</v>
      </c>
      <c r="Q14" s="60">
        <f t="shared" si="4"/>
        <v>27035</v>
      </c>
    </row>
    <row r="15" spans="1:17" ht="15.75" thickBot="1" x14ac:dyDescent="0.3">
      <c r="A15" s="551"/>
      <c r="B15" s="551"/>
      <c r="C15" s="551"/>
      <c r="D15" s="552"/>
      <c r="E15" s="47" t="s">
        <v>254</v>
      </c>
      <c r="F15" s="32" t="s">
        <v>255</v>
      </c>
      <c r="G15" s="15">
        <v>4</v>
      </c>
      <c r="H15" s="59">
        <f>'TABLA GENERAL'!D17</f>
        <v>421</v>
      </c>
      <c r="I15" s="115">
        <v>1684</v>
      </c>
      <c r="J15" s="15">
        <v>1</v>
      </c>
      <c r="K15" s="60">
        <f t="shared" si="0"/>
        <v>421</v>
      </c>
      <c r="L15" s="15">
        <v>0</v>
      </c>
      <c r="M15" s="60">
        <f t="shared" si="1"/>
        <v>0</v>
      </c>
      <c r="N15" s="15">
        <v>0</v>
      </c>
      <c r="O15" s="60">
        <f t="shared" si="2"/>
        <v>0</v>
      </c>
      <c r="P15" s="47">
        <f t="shared" si="3"/>
        <v>1</v>
      </c>
      <c r="Q15" s="60">
        <f t="shared" si="4"/>
        <v>421</v>
      </c>
    </row>
    <row r="16" spans="1:17" ht="15.75" thickBot="1" x14ac:dyDescent="0.3">
      <c r="A16" s="551"/>
      <c r="B16" s="551"/>
      <c r="C16" s="551"/>
      <c r="D16" s="550" t="s">
        <v>256</v>
      </c>
      <c r="E16" s="47" t="s">
        <v>257</v>
      </c>
      <c r="F16" s="32" t="s">
        <v>258</v>
      </c>
      <c r="G16" s="15">
        <v>2</v>
      </c>
      <c r="H16" s="59">
        <f>'TABLA GENERAL'!D19</f>
        <v>27984</v>
      </c>
      <c r="I16" s="115">
        <v>55968</v>
      </c>
      <c r="J16" s="15">
        <v>0</v>
      </c>
      <c r="K16" s="60">
        <f t="shared" si="0"/>
        <v>0</v>
      </c>
      <c r="L16" s="15">
        <v>1</v>
      </c>
      <c r="M16" s="60">
        <f t="shared" si="1"/>
        <v>27984</v>
      </c>
      <c r="N16" s="47">
        <v>0</v>
      </c>
      <c r="O16" s="60">
        <f t="shared" si="2"/>
        <v>0</v>
      </c>
      <c r="P16" s="47">
        <f t="shared" si="3"/>
        <v>1</v>
      </c>
      <c r="Q16" s="60">
        <f t="shared" si="4"/>
        <v>27984</v>
      </c>
    </row>
    <row r="17" spans="1:17" ht="15.75" thickBot="1" x14ac:dyDescent="0.3">
      <c r="A17" s="551"/>
      <c r="B17" s="551"/>
      <c r="C17" s="551"/>
      <c r="D17" s="551"/>
      <c r="E17" s="47" t="s">
        <v>259</v>
      </c>
      <c r="F17" s="32" t="s">
        <v>260</v>
      </c>
      <c r="G17" s="15">
        <v>14</v>
      </c>
      <c r="H17" s="59">
        <f>'TABLA GENERAL'!D20</f>
        <v>1655</v>
      </c>
      <c r="I17" s="115">
        <v>23170</v>
      </c>
      <c r="J17" s="15">
        <v>14</v>
      </c>
      <c r="K17" s="60">
        <f t="shared" si="0"/>
        <v>23170</v>
      </c>
      <c r="L17" s="15">
        <v>0</v>
      </c>
      <c r="M17" s="60">
        <f t="shared" si="1"/>
        <v>0</v>
      </c>
      <c r="N17" s="15">
        <v>0</v>
      </c>
      <c r="O17" s="60">
        <f t="shared" si="2"/>
        <v>0</v>
      </c>
      <c r="P17" s="47">
        <f t="shared" si="3"/>
        <v>14</v>
      </c>
      <c r="Q17" s="60">
        <f t="shared" si="4"/>
        <v>23170</v>
      </c>
    </row>
    <row r="18" spans="1:17" ht="15.75" thickBot="1" x14ac:dyDescent="0.3">
      <c r="A18" s="551"/>
      <c r="B18" s="551"/>
      <c r="C18" s="551"/>
      <c r="D18" s="551"/>
      <c r="E18" s="47" t="s">
        <v>261</v>
      </c>
      <c r="F18" s="32" t="s">
        <v>262</v>
      </c>
      <c r="G18" s="15">
        <v>2</v>
      </c>
      <c r="H18" s="59">
        <f>'TABLA GENERAL'!D21</f>
        <v>11477</v>
      </c>
      <c r="I18" s="115">
        <v>22954</v>
      </c>
      <c r="J18" s="15">
        <v>1</v>
      </c>
      <c r="K18" s="60">
        <f t="shared" si="0"/>
        <v>11477</v>
      </c>
      <c r="L18" s="15">
        <v>0</v>
      </c>
      <c r="M18" s="60">
        <f t="shared" si="1"/>
        <v>0</v>
      </c>
      <c r="N18" s="15">
        <v>0</v>
      </c>
      <c r="O18" s="60">
        <f t="shared" si="2"/>
        <v>0</v>
      </c>
      <c r="P18" s="47">
        <f t="shared" si="3"/>
        <v>1</v>
      </c>
      <c r="Q18" s="60">
        <f t="shared" si="4"/>
        <v>11477</v>
      </c>
    </row>
    <row r="19" spans="1:17" ht="15.75" thickBot="1" x14ac:dyDescent="0.3">
      <c r="A19" s="551"/>
      <c r="B19" s="551"/>
      <c r="C19" s="551"/>
      <c r="D19" s="551"/>
      <c r="E19" s="47" t="s">
        <v>263</v>
      </c>
      <c r="F19" s="32" t="s">
        <v>264</v>
      </c>
      <c r="G19" s="15">
        <v>1</v>
      </c>
      <c r="H19" s="59">
        <f>'TABLA GENERAL'!D22</f>
        <v>44356</v>
      </c>
      <c r="I19" s="115">
        <v>44356</v>
      </c>
      <c r="J19" s="15">
        <v>0</v>
      </c>
      <c r="K19" s="60">
        <f t="shared" si="0"/>
        <v>0</v>
      </c>
      <c r="L19" s="15">
        <v>1</v>
      </c>
      <c r="M19" s="60">
        <f t="shared" si="1"/>
        <v>44356</v>
      </c>
      <c r="N19" s="15">
        <v>0</v>
      </c>
      <c r="O19" s="60">
        <f t="shared" si="2"/>
        <v>0</v>
      </c>
      <c r="P19" s="47">
        <f t="shared" si="3"/>
        <v>1</v>
      </c>
      <c r="Q19" s="60">
        <f t="shared" si="4"/>
        <v>44356</v>
      </c>
    </row>
    <row r="20" spans="1:17" ht="15.75" thickBot="1" x14ac:dyDescent="0.3">
      <c r="A20" s="551"/>
      <c r="B20" s="551"/>
      <c r="C20" s="551"/>
      <c r="D20" s="551"/>
      <c r="E20" s="47" t="s">
        <v>265</v>
      </c>
      <c r="F20" s="32" t="s">
        <v>266</v>
      </c>
      <c r="G20" s="15">
        <v>36</v>
      </c>
      <c r="H20" s="59">
        <f>'TABLA GENERAL'!D23</f>
        <v>107</v>
      </c>
      <c r="I20" s="115">
        <v>3852</v>
      </c>
      <c r="J20" s="15">
        <v>10</v>
      </c>
      <c r="K20" s="60">
        <f t="shared" si="0"/>
        <v>1070</v>
      </c>
      <c r="L20" s="15">
        <v>2</v>
      </c>
      <c r="M20" s="60">
        <f t="shared" si="1"/>
        <v>214</v>
      </c>
      <c r="N20" s="47">
        <v>0</v>
      </c>
      <c r="O20" s="60">
        <f t="shared" si="2"/>
        <v>0</v>
      </c>
      <c r="P20" s="47">
        <f t="shared" si="3"/>
        <v>12</v>
      </c>
      <c r="Q20" s="60">
        <f t="shared" si="4"/>
        <v>1284</v>
      </c>
    </row>
    <row r="21" spans="1:17" ht="15.75" thickBot="1" x14ac:dyDescent="0.3">
      <c r="A21" s="551"/>
      <c r="B21" s="551"/>
      <c r="C21" s="551"/>
      <c r="D21" s="551"/>
      <c r="E21" s="47" t="s">
        <v>267</v>
      </c>
      <c r="F21" s="32" t="s">
        <v>268</v>
      </c>
      <c r="G21" s="15">
        <v>13</v>
      </c>
      <c r="H21" s="59">
        <f>'TABLA GENERAL'!D24</f>
        <v>1484</v>
      </c>
      <c r="I21" s="115">
        <v>19292</v>
      </c>
      <c r="J21" s="15">
        <v>10</v>
      </c>
      <c r="K21" s="60">
        <f t="shared" si="0"/>
        <v>14840</v>
      </c>
      <c r="L21" s="15">
        <v>0</v>
      </c>
      <c r="M21" s="60">
        <f t="shared" si="1"/>
        <v>0</v>
      </c>
      <c r="N21" s="15">
        <v>0</v>
      </c>
      <c r="O21" s="60">
        <f t="shared" si="2"/>
        <v>0</v>
      </c>
      <c r="P21" s="47">
        <f t="shared" si="3"/>
        <v>10</v>
      </c>
      <c r="Q21" s="60">
        <f t="shared" si="4"/>
        <v>14840</v>
      </c>
    </row>
    <row r="22" spans="1:17" ht="15.75" thickBot="1" x14ac:dyDescent="0.3">
      <c r="A22" s="551"/>
      <c r="B22" s="551"/>
      <c r="C22" s="552"/>
      <c r="D22" s="552"/>
      <c r="E22" s="47" t="s">
        <v>267</v>
      </c>
      <c r="F22" s="32" t="s">
        <v>269</v>
      </c>
      <c r="G22" s="15">
        <v>2</v>
      </c>
      <c r="H22" s="59">
        <f>'TABLA GENERAL'!D25</f>
        <v>312143</v>
      </c>
      <c r="I22" s="115">
        <v>624286</v>
      </c>
      <c r="J22" s="15">
        <v>1</v>
      </c>
      <c r="K22" s="60">
        <f t="shared" si="0"/>
        <v>312143</v>
      </c>
      <c r="L22" s="15">
        <v>1</v>
      </c>
      <c r="M22" s="60">
        <f t="shared" si="1"/>
        <v>312143</v>
      </c>
      <c r="N22" s="15">
        <v>0</v>
      </c>
      <c r="O22" s="60">
        <f t="shared" si="2"/>
        <v>0</v>
      </c>
      <c r="P22" s="47">
        <f t="shared" si="3"/>
        <v>2</v>
      </c>
      <c r="Q22" s="60">
        <f t="shared" si="4"/>
        <v>624286</v>
      </c>
    </row>
    <row r="23" spans="1:17" ht="30.75" thickBot="1" x14ac:dyDescent="0.3">
      <c r="A23" s="551"/>
      <c r="B23" s="551"/>
      <c r="C23" s="550" t="s">
        <v>270</v>
      </c>
      <c r="D23" s="652" t="s">
        <v>271</v>
      </c>
      <c r="E23" s="47" t="s">
        <v>272</v>
      </c>
      <c r="F23" s="32" t="s">
        <v>273</v>
      </c>
      <c r="G23" s="15">
        <v>1</v>
      </c>
      <c r="H23" s="59">
        <f>'TABLA GENERAL'!D27</f>
        <v>68138</v>
      </c>
      <c r="I23" s="115">
        <v>68138</v>
      </c>
      <c r="J23" s="15">
        <v>1</v>
      </c>
      <c r="K23" s="60">
        <f t="shared" si="0"/>
        <v>68138</v>
      </c>
      <c r="L23" s="15">
        <v>0</v>
      </c>
      <c r="M23" s="60">
        <f t="shared" si="1"/>
        <v>0</v>
      </c>
      <c r="N23" s="47">
        <v>0</v>
      </c>
      <c r="O23" s="60">
        <f t="shared" si="2"/>
        <v>0</v>
      </c>
      <c r="P23" s="47">
        <f t="shared" si="3"/>
        <v>1</v>
      </c>
      <c r="Q23" s="60">
        <f t="shared" si="4"/>
        <v>68138</v>
      </c>
    </row>
    <row r="24" spans="1:17" ht="15.75" thickBot="1" x14ac:dyDescent="0.3">
      <c r="A24" s="551"/>
      <c r="B24" s="551"/>
      <c r="C24" s="551"/>
      <c r="D24" s="653"/>
      <c r="E24" s="47" t="s">
        <v>274</v>
      </c>
      <c r="F24" s="257" t="s">
        <v>275</v>
      </c>
      <c r="G24" s="15">
        <v>11</v>
      </c>
      <c r="H24" s="59">
        <f>'TABLA GENERAL'!D28</f>
        <v>47779</v>
      </c>
      <c r="I24" s="115">
        <v>525569</v>
      </c>
      <c r="J24" s="15">
        <v>2</v>
      </c>
      <c r="K24" s="60">
        <f t="shared" si="0"/>
        <v>95558</v>
      </c>
      <c r="L24" s="15">
        <v>7</v>
      </c>
      <c r="M24" s="60">
        <f t="shared" si="1"/>
        <v>334453</v>
      </c>
      <c r="N24" s="15">
        <v>0</v>
      </c>
      <c r="O24" s="60">
        <f t="shared" si="2"/>
        <v>0</v>
      </c>
      <c r="P24" s="47">
        <f t="shared" si="3"/>
        <v>9</v>
      </c>
      <c r="Q24" s="60">
        <f t="shared" si="4"/>
        <v>430011</v>
      </c>
    </row>
    <row r="25" spans="1:17" ht="15.75" thickBot="1" x14ac:dyDescent="0.3">
      <c r="A25" s="551"/>
      <c r="B25" s="551"/>
      <c r="C25" s="551"/>
      <c r="D25" s="653"/>
      <c r="E25" s="47" t="s">
        <v>276</v>
      </c>
      <c r="F25" s="32" t="s">
        <v>277</v>
      </c>
      <c r="G25" s="15">
        <v>4</v>
      </c>
      <c r="H25" s="59">
        <f>'TABLA GENERAL'!D29</f>
        <v>40845</v>
      </c>
      <c r="I25" s="115">
        <v>163380</v>
      </c>
      <c r="J25" s="15">
        <v>0</v>
      </c>
      <c r="K25" s="60">
        <f t="shared" si="0"/>
        <v>0</v>
      </c>
      <c r="L25" s="15">
        <v>4</v>
      </c>
      <c r="M25" s="60">
        <f t="shared" si="1"/>
        <v>163380</v>
      </c>
      <c r="N25" s="15">
        <v>0</v>
      </c>
      <c r="O25" s="60">
        <f t="shared" si="2"/>
        <v>0</v>
      </c>
      <c r="P25" s="47">
        <f t="shared" si="3"/>
        <v>4</v>
      </c>
      <c r="Q25" s="60">
        <f t="shared" si="4"/>
        <v>163380</v>
      </c>
    </row>
    <row r="26" spans="1:17" ht="30.75" thickBot="1" x14ac:dyDescent="0.3">
      <c r="A26" s="551"/>
      <c r="B26" s="551"/>
      <c r="C26" s="551"/>
      <c r="D26" s="654"/>
      <c r="E26" s="47" t="s">
        <v>278</v>
      </c>
      <c r="F26" s="32" t="s">
        <v>279</v>
      </c>
      <c r="G26" s="15">
        <v>152</v>
      </c>
      <c r="H26" s="59">
        <f>'TABLA GENERAL'!D30</f>
        <v>16636</v>
      </c>
      <c r="I26" s="115">
        <v>2528672</v>
      </c>
      <c r="J26" s="15">
        <v>13</v>
      </c>
      <c r="K26" s="60">
        <f t="shared" si="0"/>
        <v>216268</v>
      </c>
      <c r="L26" s="15">
        <v>0</v>
      </c>
      <c r="M26" s="60">
        <f t="shared" si="1"/>
        <v>0</v>
      </c>
      <c r="N26" s="15">
        <v>0</v>
      </c>
      <c r="O26" s="60">
        <f t="shared" si="2"/>
        <v>0</v>
      </c>
      <c r="P26" s="47">
        <f t="shared" si="3"/>
        <v>13</v>
      </c>
      <c r="Q26" s="60">
        <f t="shared" si="4"/>
        <v>216268</v>
      </c>
    </row>
    <row r="27" spans="1:17" ht="15.75" thickBot="1" x14ac:dyDescent="0.3">
      <c r="A27" s="551"/>
      <c r="B27" s="551"/>
      <c r="C27" s="551"/>
      <c r="D27" s="655" t="s">
        <v>280</v>
      </c>
      <c r="E27" s="47" t="s">
        <v>281</v>
      </c>
      <c r="F27" s="32" t="s">
        <v>282</v>
      </c>
      <c r="G27" s="15">
        <v>10</v>
      </c>
      <c r="H27" s="59">
        <f>'TABLA GENERAL'!D32</f>
        <v>5231</v>
      </c>
      <c r="I27" s="115">
        <v>52310</v>
      </c>
      <c r="J27" s="15">
        <v>10</v>
      </c>
      <c r="K27" s="60">
        <f t="shared" si="0"/>
        <v>52310</v>
      </c>
      <c r="L27" s="15">
        <v>0</v>
      </c>
      <c r="M27" s="60">
        <f t="shared" si="1"/>
        <v>0</v>
      </c>
      <c r="N27" s="15">
        <v>0</v>
      </c>
      <c r="O27" s="60">
        <f t="shared" si="2"/>
        <v>0</v>
      </c>
      <c r="P27" s="47">
        <f t="shared" si="3"/>
        <v>10</v>
      </c>
      <c r="Q27" s="60">
        <f t="shared" si="4"/>
        <v>52310</v>
      </c>
    </row>
    <row r="28" spans="1:17" ht="15.75" thickBot="1" x14ac:dyDescent="0.3">
      <c r="A28" s="551"/>
      <c r="B28" s="551"/>
      <c r="C28" s="551"/>
      <c r="D28" s="656"/>
      <c r="E28" s="47" t="s">
        <v>283</v>
      </c>
      <c r="F28" s="32" t="s">
        <v>284</v>
      </c>
      <c r="G28" s="15">
        <v>13</v>
      </c>
      <c r="H28" s="59">
        <f>'TABLA GENERAL'!D33</f>
        <v>3641</v>
      </c>
      <c r="I28" s="115">
        <v>47333</v>
      </c>
      <c r="J28" s="15">
        <v>3</v>
      </c>
      <c r="K28" s="60">
        <f t="shared" si="0"/>
        <v>10923</v>
      </c>
      <c r="L28" s="15">
        <v>0</v>
      </c>
      <c r="M28" s="60">
        <f t="shared" si="1"/>
        <v>0</v>
      </c>
      <c r="N28" s="15">
        <v>0</v>
      </c>
      <c r="O28" s="60">
        <f t="shared" si="2"/>
        <v>0</v>
      </c>
      <c r="P28" s="47">
        <f t="shared" si="3"/>
        <v>3</v>
      </c>
      <c r="Q28" s="60">
        <f t="shared" si="4"/>
        <v>10923</v>
      </c>
    </row>
    <row r="29" spans="1:17" ht="15.75" thickBot="1" x14ac:dyDescent="0.3">
      <c r="A29" s="551"/>
      <c r="B29" s="551"/>
      <c r="C29" s="551"/>
      <c r="D29" s="657" t="s">
        <v>285</v>
      </c>
      <c r="E29" s="47" t="s">
        <v>286</v>
      </c>
      <c r="F29" s="32" t="s">
        <v>287</v>
      </c>
      <c r="G29" s="15">
        <v>2</v>
      </c>
      <c r="H29" s="59">
        <v>123893</v>
      </c>
      <c r="I29" s="115">
        <v>247786</v>
      </c>
      <c r="J29" s="15">
        <v>1</v>
      </c>
      <c r="K29" s="60">
        <f t="shared" si="0"/>
        <v>123893</v>
      </c>
      <c r="L29" s="15">
        <v>0</v>
      </c>
      <c r="M29" s="60">
        <f t="shared" si="1"/>
        <v>0</v>
      </c>
      <c r="N29" s="47">
        <v>0</v>
      </c>
      <c r="O29" s="60">
        <f t="shared" si="2"/>
        <v>0</v>
      </c>
      <c r="P29" s="47">
        <f t="shared" si="3"/>
        <v>1</v>
      </c>
      <c r="Q29" s="60">
        <f t="shared" si="4"/>
        <v>123893</v>
      </c>
    </row>
    <row r="30" spans="1:17" ht="15.75" thickBot="1" x14ac:dyDescent="0.3">
      <c r="A30" s="551"/>
      <c r="B30" s="551"/>
      <c r="C30" s="551"/>
      <c r="D30" s="658"/>
      <c r="E30" s="47" t="s">
        <v>288</v>
      </c>
      <c r="F30" s="32" t="s">
        <v>289</v>
      </c>
      <c r="G30" s="15">
        <v>10</v>
      </c>
      <c r="H30" s="59">
        <f>'TABLA GENERAL'!D36</f>
        <v>57181</v>
      </c>
      <c r="I30" s="115">
        <v>571810</v>
      </c>
      <c r="J30" s="15">
        <v>5</v>
      </c>
      <c r="K30" s="60">
        <f t="shared" si="0"/>
        <v>285905</v>
      </c>
      <c r="L30" s="15">
        <v>0</v>
      </c>
      <c r="M30" s="60">
        <f t="shared" si="1"/>
        <v>0</v>
      </c>
      <c r="N30" s="15">
        <v>0</v>
      </c>
      <c r="O30" s="60">
        <f t="shared" si="2"/>
        <v>0</v>
      </c>
      <c r="P30" s="47">
        <f t="shared" si="3"/>
        <v>5</v>
      </c>
      <c r="Q30" s="60">
        <f t="shared" si="4"/>
        <v>285905</v>
      </c>
    </row>
    <row r="31" spans="1:17" ht="15.75" thickBot="1" x14ac:dyDescent="0.3">
      <c r="A31" s="551"/>
      <c r="B31" s="551"/>
      <c r="C31" s="551"/>
      <c r="D31" s="655" t="s">
        <v>290</v>
      </c>
      <c r="E31" s="47" t="s">
        <v>291</v>
      </c>
      <c r="F31" s="32" t="s">
        <v>292</v>
      </c>
      <c r="G31" s="15">
        <v>2</v>
      </c>
      <c r="H31" s="59">
        <f>'TABLA GENERAL'!D39</f>
        <v>29368</v>
      </c>
      <c r="I31" s="115">
        <v>58736</v>
      </c>
      <c r="J31" s="15">
        <v>1</v>
      </c>
      <c r="K31" s="60">
        <f t="shared" si="0"/>
        <v>29368</v>
      </c>
      <c r="L31" s="15">
        <v>0</v>
      </c>
      <c r="M31" s="60">
        <f t="shared" si="1"/>
        <v>0</v>
      </c>
      <c r="N31" s="47">
        <v>0</v>
      </c>
      <c r="O31" s="60">
        <f t="shared" si="2"/>
        <v>0</v>
      </c>
      <c r="P31" s="47">
        <f t="shared" si="3"/>
        <v>1</v>
      </c>
      <c r="Q31" s="60">
        <f t="shared" si="4"/>
        <v>29368</v>
      </c>
    </row>
    <row r="32" spans="1:17" ht="15.75" thickBot="1" x14ac:dyDescent="0.3">
      <c r="A32" s="551"/>
      <c r="B32" s="551"/>
      <c r="C32" s="551"/>
      <c r="D32" s="659"/>
      <c r="E32" s="47" t="s">
        <v>293</v>
      </c>
      <c r="F32" s="32" t="s">
        <v>294</v>
      </c>
      <c r="G32" s="15">
        <v>1</v>
      </c>
      <c r="H32" s="59">
        <f>'TABLA GENERAL'!D40</f>
        <v>26082</v>
      </c>
      <c r="I32" s="115">
        <v>26082</v>
      </c>
      <c r="J32" s="15">
        <v>1</v>
      </c>
      <c r="K32" s="60">
        <f t="shared" si="0"/>
        <v>26082</v>
      </c>
      <c r="L32" s="15">
        <v>0</v>
      </c>
      <c r="M32" s="60">
        <f t="shared" si="1"/>
        <v>0</v>
      </c>
      <c r="N32" s="15">
        <v>0</v>
      </c>
      <c r="O32" s="60">
        <f t="shared" si="2"/>
        <v>0</v>
      </c>
      <c r="P32" s="47">
        <f t="shared" si="3"/>
        <v>1</v>
      </c>
      <c r="Q32" s="60">
        <f t="shared" si="4"/>
        <v>26082</v>
      </c>
    </row>
    <row r="33" spans="1:17" ht="16.5" customHeight="1" thickBot="1" x14ac:dyDescent="0.3">
      <c r="A33" s="551"/>
      <c r="B33" s="551"/>
      <c r="C33" s="552"/>
      <c r="D33" s="656"/>
      <c r="E33" s="47" t="s">
        <v>295</v>
      </c>
      <c r="F33" s="32" t="s">
        <v>296</v>
      </c>
      <c r="G33" s="15">
        <v>10</v>
      </c>
      <c r="H33" s="59">
        <f>'TABLA GENERAL'!D41</f>
        <v>44012</v>
      </c>
      <c r="I33" s="115">
        <v>440120</v>
      </c>
      <c r="J33" s="15">
        <v>1</v>
      </c>
      <c r="K33" s="60">
        <f t="shared" si="0"/>
        <v>44012</v>
      </c>
      <c r="L33" s="15">
        <v>2</v>
      </c>
      <c r="M33" s="60">
        <f t="shared" si="1"/>
        <v>88024</v>
      </c>
      <c r="N33" s="15">
        <v>0</v>
      </c>
      <c r="O33" s="60">
        <f t="shared" si="2"/>
        <v>0</v>
      </c>
      <c r="P33" s="47">
        <f t="shared" si="3"/>
        <v>3</v>
      </c>
      <c r="Q33" s="60">
        <f t="shared" si="4"/>
        <v>132036</v>
      </c>
    </row>
    <row r="34" spans="1:17" ht="25.5" customHeight="1" thickBot="1" x14ac:dyDescent="0.3">
      <c r="A34" s="551"/>
      <c r="B34" s="551"/>
      <c r="C34" s="640" t="s">
        <v>297</v>
      </c>
      <c r="D34" s="641"/>
      <c r="E34" s="47" t="s">
        <v>298</v>
      </c>
      <c r="F34" s="32" t="s">
        <v>299</v>
      </c>
      <c r="G34" s="15">
        <v>2</v>
      </c>
      <c r="H34" s="59">
        <f>'TABLA GENERAL'!D42</f>
        <v>25629</v>
      </c>
      <c r="I34" s="115">
        <v>51258</v>
      </c>
      <c r="J34" s="15">
        <v>0</v>
      </c>
      <c r="K34" s="60">
        <f t="shared" si="0"/>
        <v>0</v>
      </c>
      <c r="L34" s="15">
        <v>1</v>
      </c>
      <c r="M34" s="60">
        <f t="shared" si="1"/>
        <v>25629</v>
      </c>
      <c r="N34" s="15">
        <v>0</v>
      </c>
      <c r="O34" s="60">
        <f t="shared" si="2"/>
        <v>0</v>
      </c>
      <c r="P34" s="47">
        <f t="shared" si="3"/>
        <v>1</v>
      </c>
      <c r="Q34" s="60">
        <f t="shared" si="4"/>
        <v>25629</v>
      </c>
    </row>
    <row r="35" spans="1:17" ht="15.75" thickBot="1" x14ac:dyDescent="0.3">
      <c r="A35" s="551"/>
      <c r="B35" s="551"/>
      <c r="C35" s="642"/>
      <c r="D35" s="643"/>
      <c r="E35" s="47" t="s">
        <v>300</v>
      </c>
      <c r="F35" s="32" t="s">
        <v>301</v>
      </c>
      <c r="G35" s="15">
        <v>3</v>
      </c>
      <c r="H35" s="59">
        <f>'TABLA GENERAL'!D45</f>
        <v>2744</v>
      </c>
      <c r="I35" s="115">
        <v>8232</v>
      </c>
      <c r="J35" s="15">
        <v>1</v>
      </c>
      <c r="K35" s="60">
        <f t="shared" si="0"/>
        <v>2744</v>
      </c>
      <c r="L35" s="15">
        <v>0</v>
      </c>
      <c r="M35" s="60">
        <f t="shared" si="1"/>
        <v>0</v>
      </c>
      <c r="N35" s="15">
        <v>0</v>
      </c>
      <c r="O35" s="60">
        <f t="shared" si="2"/>
        <v>0</v>
      </c>
      <c r="P35" s="47">
        <f t="shared" si="3"/>
        <v>1</v>
      </c>
      <c r="Q35" s="60">
        <f t="shared" si="4"/>
        <v>2744</v>
      </c>
    </row>
    <row r="36" spans="1:17" ht="15.75" thickBot="1" x14ac:dyDescent="0.3">
      <c r="A36" s="551"/>
      <c r="B36" s="551"/>
      <c r="C36" s="642"/>
      <c r="D36" s="643"/>
      <c r="E36" s="47" t="s">
        <v>302</v>
      </c>
      <c r="F36" s="32" t="s">
        <v>303</v>
      </c>
      <c r="G36" s="15">
        <v>2</v>
      </c>
      <c r="H36" s="59">
        <f>'TABLA GENERAL'!D46</f>
        <v>71054</v>
      </c>
      <c r="I36" s="115">
        <v>142108</v>
      </c>
      <c r="J36" s="15">
        <v>0</v>
      </c>
      <c r="K36" s="60">
        <f t="shared" si="0"/>
        <v>0</v>
      </c>
      <c r="L36" s="15">
        <v>1</v>
      </c>
      <c r="M36" s="60">
        <f t="shared" si="1"/>
        <v>71054</v>
      </c>
      <c r="N36" s="15">
        <v>0</v>
      </c>
      <c r="O36" s="60">
        <f t="shared" si="2"/>
        <v>0</v>
      </c>
      <c r="P36" s="47">
        <f t="shared" si="3"/>
        <v>1</v>
      </c>
      <c r="Q36" s="60">
        <f t="shared" si="4"/>
        <v>71054</v>
      </c>
    </row>
    <row r="37" spans="1:17" ht="15.75" thickBot="1" x14ac:dyDescent="0.3">
      <c r="A37" s="551"/>
      <c r="B37" s="551"/>
      <c r="C37" s="642"/>
      <c r="D37" s="643"/>
      <c r="E37" s="47" t="s">
        <v>304</v>
      </c>
      <c r="F37" s="32" t="s">
        <v>305</v>
      </c>
      <c r="G37" s="15">
        <v>2</v>
      </c>
      <c r="H37" s="59">
        <f>'TABLA GENERAL'!D47</f>
        <v>80516</v>
      </c>
      <c r="I37" s="115">
        <v>161032</v>
      </c>
      <c r="J37" s="15">
        <v>0</v>
      </c>
      <c r="K37" s="60">
        <f t="shared" si="0"/>
        <v>0</v>
      </c>
      <c r="L37" s="15">
        <v>1</v>
      </c>
      <c r="M37" s="60">
        <f t="shared" si="1"/>
        <v>80516</v>
      </c>
      <c r="N37" s="47">
        <v>0</v>
      </c>
      <c r="O37" s="60">
        <f t="shared" si="2"/>
        <v>0</v>
      </c>
      <c r="P37" s="47">
        <f t="shared" si="3"/>
        <v>1</v>
      </c>
      <c r="Q37" s="60">
        <f t="shared" si="4"/>
        <v>80516</v>
      </c>
    </row>
    <row r="38" spans="1:17" ht="15.75" thickBot="1" x14ac:dyDescent="0.3">
      <c r="A38" s="552"/>
      <c r="B38" s="551"/>
      <c r="C38" s="644"/>
      <c r="D38" s="645"/>
      <c r="E38" s="47" t="s">
        <v>306</v>
      </c>
      <c r="F38" s="57" t="s">
        <v>307</v>
      </c>
      <c r="G38" s="51">
        <v>1</v>
      </c>
      <c r="H38" s="71">
        <f>'TABLA GENERAL'!D48</f>
        <v>670956</v>
      </c>
      <c r="I38" s="116">
        <v>670956</v>
      </c>
      <c r="J38" s="51">
        <f>0.25+0.1</f>
        <v>0.35</v>
      </c>
      <c r="K38" s="60">
        <f t="shared" si="0"/>
        <v>234834.59999999998</v>
      </c>
      <c r="L38" s="51">
        <v>0.3</v>
      </c>
      <c r="M38" s="60">
        <f t="shared" si="1"/>
        <v>201286.8</v>
      </c>
      <c r="N38" s="51">
        <v>0.2</v>
      </c>
      <c r="O38" s="60">
        <f t="shared" si="2"/>
        <v>134191.20000000001</v>
      </c>
      <c r="P38" s="47">
        <f t="shared" si="3"/>
        <v>0.85</v>
      </c>
      <c r="Q38" s="60">
        <f t="shared" si="4"/>
        <v>570312.6</v>
      </c>
    </row>
    <row r="39" spans="1:17" ht="17.25" thickBot="1" x14ac:dyDescent="0.3">
      <c r="A39" s="112"/>
      <c r="B39" s="552"/>
      <c r="C39" s="308"/>
      <c r="D39" s="112"/>
      <c r="E39" s="112"/>
      <c r="F39" s="112" t="s">
        <v>308</v>
      </c>
      <c r="G39" s="112"/>
      <c r="H39" s="112"/>
      <c r="I39" s="118">
        <f>SUM(I5:I38)</f>
        <v>7274066</v>
      </c>
      <c r="J39" s="112"/>
      <c r="K39" s="119">
        <f>SUM(K5:K38)</f>
        <v>1712801.6</v>
      </c>
      <c r="L39" s="112"/>
      <c r="M39" s="119">
        <f>SUM(M5:M38)</f>
        <v>1606524.8</v>
      </c>
      <c r="N39" s="112"/>
      <c r="O39" s="119">
        <f>SUM(O5:O38)</f>
        <v>134191.20000000001</v>
      </c>
      <c r="P39" s="112"/>
      <c r="Q39" s="119">
        <f>SUM(Q5:Q38)</f>
        <v>3453517.6</v>
      </c>
    </row>
    <row r="40" spans="1:17" ht="14.45" x14ac:dyDescent="0.3">
      <c r="Q40" s="317"/>
    </row>
    <row r="41" spans="1:17" thickBot="1" x14ac:dyDescent="0.35">
      <c r="Q41" s="317"/>
    </row>
    <row r="42" spans="1:17" ht="47.25" customHeight="1" thickBot="1" x14ac:dyDescent="0.35">
      <c r="B42" s="195"/>
      <c r="C42" s="195"/>
      <c r="D42" s="195"/>
      <c r="E42" s="195"/>
      <c r="F42" s="702" t="s">
        <v>309</v>
      </c>
      <c r="G42" s="703"/>
      <c r="H42" s="703"/>
      <c r="I42" s="703"/>
      <c r="J42" s="703"/>
      <c r="K42" s="703"/>
      <c r="L42" s="703"/>
      <c r="M42" s="703"/>
      <c r="N42" s="703"/>
      <c r="O42" s="703"/>
      <c r="P42" s="703"/>
      <c r="Q42" s="704"/>
    </row>
    <row r="43" spans="1:17" ht="50.25" customHeight="1" thickBot="1" x14ac:dyDescent="0.3">
      <c r="A43" s="314" t="s">
        <v>228</v>
      </c>
      <c r="B43" s="550" t="s">
        <v>310</v>
      </c>
      <c r="C43" s="121"/>
      <c r="D43" s="122"/>
      <c r="E43" s="314"/>
      <c r="F43" s="112" t="s">
        <v>85</v>
      </c>
      <c r="G43" s="314" t="s">
        <v>229</v>
      </c>
      <c r="H43" s="314" t="s">
        <v>123</v>
      </c>
      <c r="I43" s="113" t="s">
        <v>230</v>
      </c>
      <c r="J43" s="314">
        <v>2021</v>
      </c>
      <c r="K43" s="314" t="s">
        <v>79</v>
      </c>
      <c r="L43" s="314">
        <v>2022</v>
      </c>
      <c r="M43" s="314" t="s">
        <v>79</v>
      </c>
      <c r="N43" s="314">
        <v>2023</v>
      </c>
      <c r="O43" s="314" t="s">
        <v>79</v>
      </c>
      <c r="P43" s="314" t="s">
        <v>756</v>
      </c>
      <c r="Q43" s="314" t="s">
        <v>79</v>
      </c>
    </row>
    <row r="44" spans="1:17" ht="39" customHeight="1" thickBot="1" x14ac:dyDescent="0.3">
      <c r="A44" s="279"/>
      <c r="B44" s="551"/>
      <c r="C44" s="705" t="s">
        <v>311</v>
      </c>
      <c r="D44" s="706"/>
      <c r="E44" s="47" t="s">
        <v>312</v>
      </c>
      <c r="F44" s="32" t="s">
        <v>313</v>
      </c>
      <c r="G44" s="15">
        <v>42</v>
      </c>
      <c r="H44" s="59">
        <f>'TABLA GENERAL'!D56</f>
        <v>739</v>
      </c>
      <c r="I44" s="115">
        <f>G44*H44</f>
        <v>31038</v>
      </c>
      <c r="J44" s="15">
        <v>0</v>
      </c>
      <c r="K44" s="60">
        <f>J44*H44</f>
        <v>0</v>
      </c>
      <c r="L44" s="15">
        <v>0</v>
      </c>
      <c r="M44" s="60">
        <f>L44*H44</f>
        <v>0</v>
      </c>
      <c r="N44" s="15">
        <v>14</v>
      </c>
      <c r="O44" s="60">
        <f>N44*H44</f>
        <v>10346</v>
      </c>
      <c r="P44" s="15">
        <f t="shared" ref="P44" si="5">+N44+L44+J44</f>
        <v>14</v>
      </c>
      <c r="Q44" s="60">
        <f t="shared" ref="Q44" si="6">+P44*H44</f>
        <v>10346</v>
      </c>
    </row>
    <row r="45" spans="1:17" ht="16.5" customHeight="1" thickBot="1" x14ac:dyDescent="0.3">
      <c r="A45" s="279"/>
      <c r="B45" s="551"/>
      <c r="C45" s="646"/>
      <c r="D45" s="647"/>
      <c r="E45" s="47" t="s">
        <v>314</v>
      </c>
      <c r="F45" s="32" t="s">
        <v>315</v>
      </c>
      <c r="G45" s="15">
        <v>84</v>
      </c>
      <c r="H45" s="59">
        <f>'TABLA GENERAL'!D57</f>
        <v>2300</v>
      </c>
      <c r="I45" s="115">
        <f t="shared" ref="I45:I54" si="7">G45*H45</f>
        <v>193200</v>
      </c>
      <c r="J45" s="15">
        <v>12</v>
      </c>
      <c r="K45" s="60">
        <f t="shared" ref="K45:K54" si="8">J45*H45</f>
        <v>27600</v>
      </c>
      <c r="L45" s="15">
        <v>12</v>
      </c>
      <c r="M45" s="60">
        <f t="shared" ref="M45:M54" si="9">L45*H45</f>
        <v>27600</v>
      </c>
      <c r="N45" s="15">
        <v>12</v>
      </c>
      <c r="O45" s="60">
        <f t="shared" ref="O45:O54" si="10">N45*H45</f>
        <v>27600</v>
      </c>
      <c r="P45" s="15">
        <f t="shared" ref="P45:P48" si="11">+N45+L45+J45</f>
        <v>36</v>
      </c>
      <c r="Q45" s="60">
        <f t="shared" ref="Q45:Q48" si="12">+P45*H45</f>
        <v>82800</v>
      </c>
    </row>
    <row r="46" spans="1:17" ht="16.5" customHeight="1" thickBot="1" x14ac:dyDescent="0.3">
      <c r="A46" s="279"/>
      <c r="B46" s="551"/>
      <c r="C46" s="646"/>
      <c r="D46" s="647"/>
      <c r="E46" s="47" t="s">
        <v>94</v>
      </c>
      <c r="F46" s="32" t="s">
        <v>93</v>
      </c>
      <c r="G46" s="15">
        <v>125</v>
      </c>
      <c r="H46" s="59">
        <f>'TABLA GENERAL'!D58</f>
        <v>1690</v>
      </c>
      <c r="I46" s="115">
        <f t="shared" si="7"/>
        <v>211250</v>
      </c>
      <c r="J46" s="15">
        <v>14</v>
      </c>
      <c r="K46" s="60">
        <f t="shared" si="8"/>
        <v>23660</v>
      </c>
      <c r="L46" s="15">
        <v>12</v>
      </c>
      <c r="M46" s="60">
        <f t="shared" si="9"/>
        <v>20280</v>
      </c>
      <c r="N46" s="15">
        <v>12</v>
      </c>
      <c r="O46" s="60">
        <f t="shared" si="10"/>
        <v>20280</v>
      </c>
      <c r="P46" s="15">
        <f t="shared" si="11"/>
        <v>38</v>
      </c>
      <c r="Q46" s="60">
        <f t="shared" si="12"/>
        <v>64220</v>
      </c>
    </row>
    <row r="47" spans="1:17" ht="16.5" customHeight="1" thickBot="1" x14ac:dyDescent="0.3">
      <c r="A47" s="279"/>
      <c r="B47" s="551"/>
      <c r="C47" s="646"/>
      <c r="D47" s="647"/>
      <c r="E47" s="47" t="s">
        <v>92</v>
      </c>
      <c r="F47" s="32" t="s">
        <v>91</v>
      </c>
      <c r="G47" s="15">
        <v>140</v>
      </c>
      <c r="H47" s="59">
        <f>'TABLA GENERAL'!D59</f>
        <v>13300</v>
      </c>
      <c r="I47" s="115">
        <f t="shared" si="7"/>
        <v>1862000</v>
      </c>
      <c r="J47" s="15">
        <v>12</v>
      </c>
      <c r="K47" s="60">
        <f t="shared" si="8"/>
        <v>159600</v>
      </c>
      <c r="L47" s="15">
        <v>12</v>
      </c>
      <c r="M47" s="60">
        <f t="shared" si="9"/>
        <v>159600</v>
      </c>
      <c r="N47" s="15">
        <v>12</v>
      </c>
      <c r="O47" s="60">
        <f t="shared" si="10"/>
        <v>159600</v>
      </c>
      <c r="P47" s="15">
        <f t="shared" si="11"/>
        <v>36</v>
      </c>
      <c r="Q47" s="60">
        <f t="shared" si="12"/>
        <v>478800</v>
      </c>
    </row>
    <row r="48" spans="1:17" ht="15.75" thickBot="1" x14ac:dyDescent="0.3">
      <c r="A48" s="279"/>
      <c r="B48" s="551"/>
      <c r="C48" s="648"/>
      <c r="D48" s="649"/>
      <c r="E48" s="47" t="s">
        <v>330</v>
      </c>
      <c r="F48" s="32" t="s">
        <v>331</v>
      </c>
      <c r="G48" s="15">
        <v>56</v>
      </c>
      <c r="H48" s="59">
        <f>'TABLA GENERAL'!D69</f>
        <v>712</v>
      </c>
      <c r="I48" s="115">
        <f t="shared" si="7"/>
        <v>39872</v>
      </c>
      <c r="J48" s="15">
        <v>12</v>
      </c>
      <c r="K48" s="60">
        <f t="shared" si="8"/>
        <v>8544</v>
      </c>
      <c r="L48" s="15">
        <v>0</v>
      </c>
      <c r="M48" s="60">
        <f t="shared" si="9"/>
        <v>0</v>
      </c>
      <c r="N48" s="15">
        <v>0</v>
      </c>
      <c r="O48" s="60">
        <f t="shared" si="10"/>
        <v>0</v>
      </c>
      <c r="P48" s="15">
        <f t="shared" si="11"/>
        <v>12</v>
      </c>
      <c r="Q48" s="60">
        <f t="shared" si="12"/>
        <v>8544</v>
      </c>
    </row>
    <row r="49" spans="1:17" ht="15.75" thickBot="1" x14ac:dyDescent="0.3">
      <c r="A49" s="279"/>
      <c r="B49" s="551"/>
      <c r="C49" s="629" t="s">
        <v>424</v>
      </c>
      <c r="D49" s="638" t="s">
        <v>425</v>
      </c>
      <c r="E49" s="56" t="s">
        <v>76</v>
      </c>
      <c r="F49" s="32" t="s">
        <v>75</v>
      </c>
      <c r="G49" s="15">
        <v>4</v>
      </c>
      <c r="H49" s="59">
        <f>'TABLA GENERAL'!D121</f>
        <v>15700</v>
      </c>
      <c r="I49" s="115">
        <f t="shared" si="7"/>
        <v>62800</v>
      </c>
      <c r="J49" s="20">
        <v>0</v>
      </c>
      <c r="K49" s="60">
        <f t="shared" si="8"/>
        <v>0</v>
      </c>
      <c r="L49" s="20">
        <v>0</v>
      </c>
      <c r="M49" s="60">
        <f t="shared" si="9"/>
        <v>0</v>
      </c>
      <c r="N49" s="19">
        <v>1</v>
      </c>
      <c r="O49" s="60">
        <f t="shared" si="10"/>
        <v>15700</v>
      </c>
      <c r="P49" s="15">
        <f t="shared" ref="P49" si="13">+N49+L49+J49</f>
        <v>1</v>
      </c>
      <c r="Q49" s="60">
        <f t="shared" ref="Q49" si="14">+P49*H49</f>
        <v>15700</v>
      </c>
    </row>
    <row r="50" spans="1:17" ht="15.75" thickBot="1" x14ac:dyDescent="0.3">
      <c r="A50" s="279"/>
      <c r="B50" s="551"/>
      <c r="C50" s="629"/>
      <c r="D50" s="638"/>
      <c r="E50" s="56" t="s">
        <v>74</v>
      </c>
      <c r="F50" s="32" t="s">
        <v>73</v>
      </c>
      <c r="G50" s="15">
        <v>4</v>
      </c>
      <c r="H50" s="59">
        <f>'TABLA GENERAL'!D122</f>
        <v>45800</v>
      </c>
      <c r="I50" s="115">
        <f t="shared" si="7"/>
        <v>183200</v>
      </c>
      <c r="J50" s="20">
        <v>0</v>
      </c>
      <c r="K50" s="60">
        <f t="shared" si="8"/>
        <v>0</v>
      </c>
      <c r="L50" s="20">
        <v>0</v>
      </c>
      <c r="M50" s="60">
        <f t="shared" si="9"/>
        <v>0</v>
      </c>
      <c r="N50" s="19">
        <v>1</v>
      </c>
      <c r="O50" s="60">
        <f t="shared" si="10"/>
        <v>45800</v>
      </c>
      <c r="P50" s="15">
        <f t="shared" ref="P50:P64" si="15">+N50+L50+J50</f>
        <v>1</v>
      </c>
      <c r="Q50" s="60">
        <f t="shared" ref="Q50:Q64" si="16">+P50*H50</f>
        <v>45800</v>
      </c>
    </row>
    <row r="51" spans="1:17" ht="15.75" thickBot="1" x14ac:dyDescent="0.3">
      <c r="A51" s="279"/>
      <c r="B51" s="551"/>
      <c r="C51" s="629"/>
      <c r="D51" s="638"/>
      <c r="E51" s="56" t="s">
        <v>72</v>
      </c>
      <c r="F51" s="32" t="s">
        <v>71</v>
      </c>
      <c r="G51" s="15">
        <v>28</v>
      </c>
      <c r="H51" s="59">
        <f>'TABLA GENERAL'!D123</f>
        <v>4090</v>
      </c>
      <c r="I51" s="115">
        <f t="shared" si="7"/>
        <v>114520</v>
      </c>
      <c r="J51" s="20">
        <v>0</v>
      </c>
      <c r="K51" s="60">
        <f t="shared" si="8"/>
        <v>0</v>
      </c>
      <c r="L51" s="20">
        <v>0</v>
      </c>
      <c r="M51" s="60">
        <f t="shared" si="9"/>
        <v>0</v>
      </c>
      <c r="N51" s="19">
        <v>9</v>
      </c>
      <c r="O51" s="60">
        <f t="shared" si="10"/>
        <v>36810</v>
      </c>
      <c r="P51" s="15">
        <f t="shared" si="15"/>
        <v>9</v>
      </c>
      <c r="Q51" s="60">
        <f t="shared" si="16"/>
        <v>36810</v>
      </c>
    </row>
    <row r="52" spans="1:17" ht="15.75" thickBot="1" x14ac:dyDescent="0.3">
      <c r="A52" s="279"/>
      <c r="B52" s="551"/>
      <c r="C52" s="629"/>
      <c r="D52" s="638"/>
      <c r="E52" s="56" t="s">
        <v>339</v>
      </c>
      <c r="F52" s="32" t="s">
        <v>426</v>
      </c>
      <c r="G52" s="15">
        <v>28</v>
      </c>
      <c r="H52" s="59">
        <f>'TABLA GENERAL'!D124</f>
        <v>3650</v>
      </c>
      <c r="I52" s="115">
        <f t="shared" si="7"/>
        <v>102200</v>
      </c>
      <c r="J52" s="20">
        <v>0</v>
      </c>
      <c r="K52" s="60">
        <f t="shared" si="8"/>
        <v>0</v>
      </c>
      <c r="L52" s="20">
        <v>0</v>
      </c>
      <c r="M52" s="60">
        <f t="shared" si="9"/>
        <v>0</v>
      </c>
      <c r="N52" s="19">
        <v>9</v>
      </c>
      <c r="O52" s="60">
        <f t="shared" si="10"/>
        <v>32850</v>
      </c>
      <c r="P52" s="15">
        <f t="shared" si="15"/>
        <v>9</v>
      </c>
      <c r="Q52" s="60">
        <f t="shared" si="16"/>
        <v>32850</v>
      </c>
    </row>
    <row r="53" spans="1:17" ht="30.75" thickBot="1" x14ac:dyDescent="0.3">
      <c r="A53" s="279"/>
      <c r="B53" s="551"/>
      <c r="C53" s="629"/>
      <c r="D53" s="638"/>
      <c r="E53" s="56" t="s">
        <v>427</v>
      </c>
      <c r="F53" s="32" t="s">
        <v>428</v>
      </c>
      <c r="G53" s="15">
        <v>8</v>
      </c>
      <c r="H53" s="59">
        <f>'TABLA GENERAL'!D125</f>
        <v>5100</v>
      </c>
      <c r="I53" s="115">
        <f t="shared" si="7"/>
        <v>40800</v>
      </c>
      <c r="J53" s="20">
        <v>0</v>
      </c>
      <c r="K53" s="60">
        <f t="shared" si="8"/>
        <v>0</v>
      </c>
      <c r="L53" s="20">
        <v>0</v>
      </c>
      <c r="M53" s="60">
        <f t="shared" si="9"/>
        <v>0</v>
      </c>
      <c r="N53" s="19">
        <v>3</v>
      </c>
      <c r="O53" s="60">
        <f t="shared" si="10"/>
        <v>15300</v>
      </c>
      <c r="P53" s="15">
        <f t="shared" si="15"/>
        <v>3</v>
      </c>
      <c r="Q53" s="60">
        <f t="shared" si="16"/>
        <v>15300</v>
      </c>
    </row>
    <row r="54" spans="1:17" ht="15.75" thickBot="1" x14ac:dyDescent="0.3">
      <c r="A54" s="279"/>
      <c r="B54" s="551"/>
      <c r="C54" s="629"/>
      <c r="D54" s="638"/>
      <c r="E54" s="56" t="s">
        <v>429</v>
      </c>
      <c r="F54" s="32" t="s">
        <v>430</v>
      </c>
      <c r="G54" s="15">
        <v>84</v>
      </c>
      <c r="H54" s="59">
        <f>'TABLA GENERAL'!D126</f>
        <v>20800</v>
      </c>
      <c r="I54" s="115">
        <f t="shared" si="7"/>
        <v>1747200</v>
      </c>
      <c r="J54" s="20">
        <v>0</v>
      </c>
      <c r="K54" s="60">
        <f t="shared" si="8"/>
        <v>0</v>
      </c>
      <c r="L54" s="20">
        <v>0</v>
      </c>
      <c r="M54" s="60">
        <f t="shared" si="9"/>
        <v>0</v>
      </c>
      <c r="N54" s="19">
        <f>G54/3</f>
        <v>28</v>
      </c>
      <c r="O54" s="60">
        <f t="shared" si="10"/>
        <v>582400</v>
      </c>
      <c r="P54" s="15">
        <f t="shared" si="15"/>
        <v>28</v>
      </c>
      <c r="Q54" s="60">
        <f t="shared" si="16"/>
        <v>582400</v>
      </c>
    </row>
    <row r="55" spans="1:17" ht="15.75" thickBot="1" x14ac:dyDescent="0.3">
      <c r="A55" s="279"/>
      <c r="B55" s="551"/>
      <c r="C55" s="629"/>
      <c r="D55" s="638"/>
      <c r="E55" s="56" t="s">
        <v>431</v>
      </c>
      <c r="F55" s="32" t="s">
        <v>432</v>
      </c>
      <c r="G55" s="15">
        <v>84</v>
      </c>
      <c r="H55" s="59">
        <f>'TABLA GENERAL'!D127</f>
        <v>0</v>
      </c>
      <c r="I55" s="115">
        <f t="shared" ref="I55:I63" si="17">G55*H55</f>
        <v>0</v>
      </c>
      <c r="J55" s="20">
        <v>0</v>
      </c>
      <c r="K55" s="60">
        <f t="shared" ref="K55:K64" si="18">J55*H55</f>
        <v>0</v>
      </c>
      <c r="L55" s="20">
        <v>0</v>
      </c>
      <c r="M55" s="60">
        <f t="shared" ref="M55:M64" si="19">L55*H55</f>
        <v>0</v>
      </c>
      <c r="N55" s="19">
        <f>G55/3</f>
        <v>28</v>
      </c>
      <c r="O55" s="60">
        <f t="shared" ref="O55:O64" si="20">N55*H55</f>
        <v>0</v>
      </c>
      <c r="P55" s="15">
        <f t="shared" si="15"/>
        <v>28</v>
      </c>
      <c r="Q55" s="60">
        <f t="shared" si="16"/>
        <v>0</v>
      </c>
    </row>
    <row r="56" spans="1:17" ht="15.75" thickBot="1" x14ac:dyDescent="0.3">
      <c r="A56" s="279"/>
      <c r="B56" s="551"/>
      <c r="C56" s="629"/>
      <c r="D56" s="638"/>
      <c r="E56" s="56" t="s">
        <v>433</v>
      </c>
      <c r="F56" s="32" t="s">
        <v>434</v>
      </c>
      <c r="G56" s="15">
        <v>88</v>
      </c>
      <c r="H56" s="59">
        <f>'TABLA GENERAL'!D128</f>
        <v>0</v>
      </c>
      <c r="I56" s="115">
        <f t="shared" si="17"/>
        <v>0</v>
      </c>
      <c r="J56" s="20">
        <v>0</v>
      </c>
      <c r="K56" s="60">
        <f t="shared" si="18"/>
        <v>0</v>
      </c>
      <c r="L56" s="20">
        <v>0</v>
      </c>
      <c r="M56" s="60">
        <f t="shared" si="19"/>
        <v>0</v>
      </c>
      <c r="N56" s="19">
        <v>29</v>
      </c>
      <c r="O56" s="60">
        <f t="shared" si="20"/>
        <v>0</v>
      </c>
      <c r="P56" s="15">
        <f t="shared" si="15"/>
        <v>29</v>
      </c>
      <c r="Q56" s="60">
        <f t="shared" si="16"/>
        <v>0</v>
      </c>
    </row>
    <row r="57" spans="1:17" ht="15.75" thickBot="1" x14ac:dyDescent="0.3">
      <c r="A57" s="279"/>
      <c r="B57" s="551"/>
      <c r="C57" s="629"/>
      <c r="D57" s="638"/>
      <c r="E57" s="56" t="s">
        <v>437</v>
      </c>
      <c r="F57" s="32" t="s">
        <v>438</v>
      </c>
      <c r="G57" s="15">
        <v>98</v>
      </c>
      <c r="H57" s="59">
        <f>'TABLA GENERAL'!D130</f>
        <v>2150</v>
      </c>
      <c r="I57" s="115">
        <f t="shared" si="17"/>
        <v>210700</v>
      </c>
      <c r="J57" s="20">
        <v>0</v>
      </c>
      <c r="K57" s="60">
        <f t="shared" si="18"/>
        <v>0</v>
      </c>
      <c r="L57" s="20">
        <v>0</v>
      </c>
      <c r="M57" s="60">
        <f t="shared" si="19"/>
        <v>0</v>
      </c>
      <c r="N57" s="19">
        <v>28</v>
      </c>
      <c r="O57" s="60">
        <f t="shared" si="20"/>
        <v>60200</v>
      </c>
      <c r="P57" s="15">
        <f t="shared" si="15"/>
        <v>28</v>
      </c>
      <c r="Q57" s="60">
        <f t="shared" si="16"/>
        <v>60200</v>
      </c>
    </row>
    <row r="58" spans="1:17" ht="15.75" thickBot="1" x14ac:dyDescent="0.3">
      <c r="A58" s="279"/>
      <c r="B58" s="551"/>
      <c r="C58" s="629"/>
      <c r="D58" s="638"/>
      <c r="E58" s="56" t="s">
        <v>447</v>
      </c>
      <c r="F58" s="32" t="s">
        <v>448</v>
      </c>
      <c r="G58" s="15">
        <v>9</v>
      </c>
      <c r="H58" s="59">
        <f>'TABLA GENERAL'!D136</f>
        <v>485</v>
      </c>
      <c r="I58" s="115">
        <f t="shared" si="17"/>
        <v>4365</v>
      </c>
      <c r="J58" s="20">
        <v>0</v>
      </c>
      <c r="K58" s="60">
        <f t="shared" si="18"/>
        <v>0</v>
      </c>
      <c r="L58" s="20">
        <v>1</v>
      </c>
      <c r="M58" s="60">
        <f t="shared" si="19"/>
        <v>485</v>
      </c>
      <c r="N58" s="19">
        <f t="shared" ref="N58" si="21">G58/3</f>
        <v>3</v>
      </c>
      <c r="O58" s="60">
        <f t="shared" si="20"/>
        <v>1455</v>
      </c>
      <c r="P58" s="15">
        <f t="shared" si="15"/>
        <v>4</v>
      </c>
      <c r="Q58" s="60">
        <f t="shared" si="16"/>
        <v>1940</v>
      </c>
    </row>
    <row r="59" spans="1:17" ht="15.75" thickBot="1" x14ac:dyDescent="0.3">
      <c r="A59" s="279"/>
      <c r="B59" s="551"/>
      <c r="C59" s="629"/>
      <c r="D59" s="638"/>
      <c r="E59" s="56" t="s">
        <v>69</v>
      </c>
      <c r="F59" s="32" t="s">
        <v>68</v>
      </c>
      <c r="G59" s="15">
        <v>83</v>
      </c>
      <c r="H59" s="59">
        <f>'TABLA GENERAL'!D137</f>
        <v>3800</v>
      </c>
      <c r="I59" s="115">
        <f t="shared" si="17"/>
        <v>315400</v>
      </c>
      <c r="J59" s="20">
        <v>0</v>
      </c>
      <c r="K59" s="60">
        <f t="shared" si="18"/>
        <v>0</v>
      </c>
      <c r="L59" s="20">
        <v>14</v>
      </c>
      <c r="M59" s="60">
        <f t="shared" si="19"/>
        <v>53200</v>
      </c>
      <c r="N59" s="19">
        <v>28</v>
      </c>
      <c r="O59" s="60">
        <f t="shared" si="20"/>
        <v>106400</v>
      </c>
      <c r="P59" s="15">
        <f t="shared" si="15"/>
        <v>42</v>
      </c>
      <c r="Q59" s="60">
        <f t="shared" si="16"/>
        <v>159600</v>
      </c>
    </row>
    <row r="60" spans="1:17" ht="15.75" thickBot="1" x14ac:dyDescent="0.3">
      <c r="A60" s="279"/>
      <c r="B60" s="551"/>
      <c r="C60" s="629"/>
      <c r="D60" s="638"/>
      <c r="E60" s="56" t="s">
        <v>449</v>
      </c>
      <c r="F60" s="32" t="s">
        <v>450</v>
      </c>
      <c r="G60" s="15">
        <v>7</v>
      </c>
      <c r="H60" s="59">
        <f>'TABLA GENERAL'!D138</f>
        <v>1246</v>
      </c>
      <c r="I60" s="115">
        <f t="shared" si="17"/>
        <v>8722</v>
      </c>
      <c r="J60" s="20">
        <v>0</v>
      </c>
      <c r="K60" s="60">
        <f t="shared" si="18"/>
        <v>0</v>
      </c>
      <c r="L60" s="20">
        <v>1</v>
      </c>
      <c r="M60" s="60">
        <f t="shared" si="19"/>
        <v>1246</v>
      </c>
      <c r="N60" s="19">
        <v>1</v>
      </c>
      <c r="O60" s="60">
        <f t="shared" si="20"/>
        <v>1246</v>
      </c>
      <c r="P60" s="15">
        <f t="shared" si="15"/>
        <v>2</v>
      </c>
      <c r="Q60" s="60">
        <f t="shared" si="16"/>
        <v>2492</v>
      </c>
    </row>
    <row r="61" spans="1:17" ht="15.75" thickBot="1" x14ac:dyDescent="0.3">
      <c r="A61" s="279"/>
      <c r="B61" s="551"/>
      <c r="C61" s="629"/>
      <c r="D61" s="551"/>
      <c r="E61" s="56" t="s">
        <v>456</v>
      </c>
      <c r="F61" s="32" t="s">
        <v>457</v>
      </c>
      <c r="G61" s="15">
        <v>68</v>
      </c>
      <c r="H61" s="59">
        <f>'TABLA GENERAL'!D141</f>
        <v>8469.75</v>
      </c>
      <c r="I61" s="115">
        <f t="shared" si="17"/>
        <v>575943</v>
      </c>
      <c r="J61" s="20">
        <v>0</v>
      </c>
      <c r="K61" s="60">
        <f t="shared" si="18"/>
        <v>0</v>
      </c>
      <c r="L61" s="20">
        <v>0</v>
      </c>
      <c r="M61" s="60">
        <f t="shared" si="19"/>
        <v>0</v>
      </c>
      <c r="N61" s="19">
        <v>23</v>
      </c>
      <c r="O61" s="60">
        <f t="shared" si="20"/>
        <v>194804.25</v>
      </c>
      <c r="P61" s="15">
        <f t="shared" si="15"/>
        <v>23</v>
      </c>
      <c r="Q61" s="60">
        <f t="shared" si="16"/>
        <v>194804.25</v>
      </c>
    </row>
    <row r="62" spans="1:17" ht="15.75" thickBot="1" x14ac:dyDescent="0.3">
      <c r="A62" s="279"/>
      <c r="B62" s="551"/>
      <c r="C62" s="629"/>
      <c r="D62" s="551"/>
      <c r="E62" s="56" t="s">
        <v>458</v>
      </c>
      <c r="F62" s="32" t="s">
        <v>459</v>
      </c>
      <c r="G62" s="15">
        <v>5</v>
      </c>
      <c r="H62" s="59">
        <f>'TABLA GENERAL'!D142</f>
        <v>2770</v>
      </c>
      <c r="I62" s="115">
        <f t="shared" si="17"/>
        <v>13850</v>
      </c>
      <c r="J62" s="20">
        <v>0</v>
      </c>
      <c r="K62" s="60">
        <f t="shared" si="18"/>
        <v>0</v>
      </c>
      <c r="L62" s="20">
        <v>0</v>
      </c>
      <c r="M62" s="60">
        <f t="shared" si="19"/>
        <v>0</v>
      </c>
      <c r="N62" s="19">
        <v>2</v>
      </c>
      <c r="O62" s="60">
        <f t="shared" si="20"/>
        <v>5540</v>
      </c>
      <c r="P62" s="15">
        <f t="shared" si="15"/>
        <v>2</v>
      </c>
      <c r="Q62" s="60">
        <f t="shared" si="16"/>
        <v>5540</v>
      </c>
    </row>
    <row r="63" spans="1:17" ht="15.75" thickBot="1" x14ac:dyDescent="0.3">
      <c r="A63" s="279"/>
      <c r="B63" s="551"/>
      <c r="C63" s="629"/>
      <c r="D63" s="551"/>
      <c r="E63" s="56" t="s">
        <v>462</v>
      </c>
      <c r="F63" s="32" t="s">
        <v>463</v>
      </c>
      <c r="G63" s="15">
        <v>10</v>
      </c>
      <c r="H63" s="59">
        <f>'TABLA GENERAL'!D144</f>
        <v>3800</v>
      </c>
      <c r="I63" s="115">
        <f t="shared" si="17"/>
        <v>38000</v>
      </c>
      <c r="J63" s="20">
        <v>0</v>
      </c>
      <c r="K63" s="60">
        <f t="shared" si="18"/>
        <v>0</v>
      </c>
      <c r="L63" s="20">
        <v>0</v>
      </c>
      <c r="M63" s="60">
        <f t="shared" si="19"/>
        <v>0</v>
      </c>
      <c r="N63" s="19">
        <v>2</v>
      </c>
      <c r="O63" s="60">
        <f t="shared" si="20"/>
        <v>7600</v>
      </c>
      <c r="P63" s="15">
        <f t="shared" si="15"/>
        <v>2</v>
      </c>
      <c r="Q63" s="60">
        <f t="shared" si="16"/>
        <v>7600</v>
      </c>
    </row>
    <row r="64" spans="1:17" ht="16.5" customHeight="1" thickBot="1" x14ac:dyDescent="0.3">
      <c r="A64" s="280"/>
      <c r="B64" s="552"/>
      <c r="C64" s="635"/>
      <c r="D64" s="552"/>
      <c r="E64" s="56" t="s">
        <v>65</v>
      </c>
      <c r="F64" s="32" t="s">
        <v>64</v>
      </c>
      <c r="G64" s="15">
        <v>4</v>
      </c>
      <c r="H64" s="59">
        <f>'TABLA GENERAL'!D149</f>
        <v>3250</v>
      </c>
      <c r="I64" s="115">
        <f>G64*H64</f>
        <v>13000</v>
      </c>
      <c r="J64" s="20">
        <v>0</v>
      </c>
      <c r="K64" s="60">
        <f t="shared" si="18"/>
        <v>0</v>
      </c>
      <c r="L64" s="20">
        <v>1</v>
      </c>
      <c r="M64" s="60">
        <f t="shared" si="19"/>
        <v>3250</v>
      </c>
      <c r="N64" s="19">
        <v>0</v>
      </c>
      <c r="O64" s="60">
        <f t="shared" si="20"/>
        <v>0</v>
      </c>
      <c r="P64" s="15">
        <f t="shared" si="15"/>
        <v>1</v>
      </c>
      <c r="Q64" s="60">
        <f t="shared" si="16"/>
        <v>3250</v>
      </c>
    </row>
    <row r="65" spans="1:17" thickBot="1" x14ac:dyDescent="0.35">
      <c r="A65" s="112"/>
      <c r="B65" s="112"/>
      <c r="C65" s="112"/>
      <c r="D65" s="124"/>
      <c r="E65" s="112"/>
      <c r="F65" s="112" t="s">
        <v>472</v>
      </c>
      <c r="G65" s="112"/>
      <c r="H65" s="112"/>
      <c r="I65" s="118">
        <f>SUM(I44:I64)</f>
        <v>5768060</v>
      </c>
      <c r="J65" s="112"/>
      <c r="K65" s="119">
        <f>SUM(K44:K64)</f>
        <v>219404</v>
      </c>
      <c r="L65" s="112"/>
      <c r="M65" s="119">
        <f>SUM(M44:M64)</f>
        <v>265661</v>
      </c>
      <c r="N65" s="112"/>
      <c r="O65" s="119">
        <f>SUM(O44:O64)</f>
        <v>1323931.25</v>
      </c>
      <c r="P65" s="112"/>
      <c r="Q65" s="119">
        <f>SUM(Q44:Q64)</f>
        <v>1808996.25</v>
      </c>
    </row>
    <row r="66" spans="1:17" ht="14.45" x14ac:dyDescent="0.3">
      <c r="Q66" s="317"/>
    </row>
    <row r="67" spans="1:17" thickBot="1" x14ac:dyDescent="0.35">
      <c r="Q67" s="317"/>
    </row>
    <row r="68" spans="1:17" ht="47.25" customHeight="1" thickBot="1" x14ac:dyDescent="0.3">
      <c r="B68" s="195"/>
      <c r="C68" s="195"/>
      <c r="D68" s="195"/>
      <c r="E68" s="195"/>
      <c r="F68" s="617" t="s">
        <v>473</v>
      </c>
      <c r="G68" s="618"/>
      <c r="H68" s="618"/>
      <c r="I68" s="618"/>
      <c r="J68" s="618"/>
      <c r="K68" s="618"/>
      <c r="L68" s="618"/>
      <c r="M68" s="618"/>
      <c r="N68" s="618"/>
      <c r="O68" s="618"/>
      <c r="P68" s="618"/>
      <c r="Q68" s="619"/>
    </row>
    <row r="69" spans="1:17" ht="28.15" thickBot="1" x14ac:dyDescent="0.35">
      <c r="A69" s="314" t="s">
        <v>228</v>
      </c>
      <c r="B69" s="707"/>
      <c r="C69" s="708"/>
      <c r="D69" s="708"/>
      <c r="E69" s="709"/>
      <c r="F69" s="314" t="s">
        <v>85</v>
      </c>
      <c r="G69" s="314" t="s">
        <v>229</v>
      </c>
      <c r="H69" s="314" t="s">
        <v>123</v>
      </c>
      <c r="I69" s="113" t="s">
        <v>230</v>
      </c>
      <c r="J69" s="314">
        <v>2021</v>
      </c>
      <c r="K69" s="314" t="s">
        <v>79</v>
      </c>
      <c r="L69" s="314">
        <v>2022</v>
      </c>
      <c r="M69" s="314" t="s">
        <v>79</v>
      </c>
      <c r="N69" s="314">
        <v>2023</v>
      </c>
      <c r="O69" s="314" t="s">
        <v>79</v>
      </c>
      <c r="P69" s="314" t="s">
        <v>756</v>
      </c>
      <c r="Q69" s="314" t="s">
        <v>79</v>
      </c>
    </row>
    <row r="70" spans="1:17" ht="18" customHeight="1" thickBot="1" x14ac:dyDescent="0.3">
      <c r="A70" s="558" t="s">
        <v>473</v>
      </c>
      <c r="B70" s="550" t="s">
        <v>474</v>
      </c>
      <c r="C70" s="586" t="s">
        <v>475</v>
      </c>
      <c r="D70" s="587"/>
      <c r="E70" s="56" t="s">
        <v>476</v>
      </c>
      <c r="F70" s="48" t="s">
        <v>477</v>
      </c>
      <c r="G70" s="47">
        <v>118</v>
      </c>
      <c r="H70" s="72">
        <f>'TABLA GENERAL'!D159</f>
        <v>260</v>
      </c>
      <c r="I70" s="114">
        <f>H70*G70</f>
        <v>30680</v>
      </c>
      <c r="J70" s="20">
        <v>0</v>
      </c>
      <c r="K70" s="60">
        <f>J70*H70</f>
        <v>0</v>
      </c>
      <c r="L70" s="20">
        <v>14</v>
      </c>
      <c r="M70" s="60">
        <f>L70*H70</f>
        <v>3640</v>
      </c>
      <c r="N70" s="20">
        <v>14</v>
      </c>
      <c r="O70" s="60">
        <f>N70*H70</f>
        <v>3640</v>
      </c>
      <c r="P70" s="20">
        <f t="shared" ref="P70" si="22">+N70+L70+J70</f>
        <v>28</v>
      </c>
      <c r="Q70" s="60">
        <f t="shared" ref="Q70" si="23">+P70*H70</f>
        <v>7280</v>
      </c>
    </row>
    <row r="71" spans="1:17" ht="18" customHeight="1" thickBot="1" x14ac:dyDescent="0.3">
      <c r="A71" s="559" t="s">
        <v>473</v>
      </c>
      <c r="B71" s="551"/>
      <c r="C71" s="616"/>
      <c r="D71" s="624"/>
      <c r="E71" s="56" t="s">
        <v>478</v>
      </c>
      <c r="F71" s="32" t="s">
        <v>479</v>
      </c>
      <c r="G71" s="15">
        <v>92</v>
      </c>
      <c r="H71" s="72">
        <f>'TABLA GENERAL'!D160</f>
        <v>84</v>
      </c>
      <c r="I71" s="114">
        <f t="shared" ref="I71:I76" si="24">H71*G71</f>
        <v>7728</v>
      </c>
      <c r="J71" s="20">
        <v>0</v>
      </c>
      <c r="K71" s="60">
        <f t="shared" ref="K71:K76" si="25">J71*H71</f>
        <v>0</v>
      </c>
      <c r="L71" s="15">
        <v>14</v>
      </c>
      <c r="M71" s="60">
        <f>L71*H71</f>
        <v>1176</v>
      </c>
      <c r="N71" s="15">
        <v>14</v>
      </c>
      <c r="O71" s="60">
        <f t="shared" ref="O71:O76" si="26">N71*H71</f>
        <v>1176</v>
      </c>
      <c r="P71" s="20">
        <f t="shared" ref="P71:P76" si="27">+N71+L71+J71</f>
        <v>28</v>
      </c>
      <c r="Q71" s="60">
        <f t="shared" ref="Q71:Q76" si="28">+P71*H71</f>
        <v>2352</v>
      </c>
    </row>
    <row r="72" spans="1:17" ht="18" customHeight="1" thickBot="1" x14ac:dyDescent="0.3">
      <c r="A72" s="559" t="s">
        <v>473</v>
      </c>
      <c r="B72" s="551"/>
      <c r="C72" s="616"/>
      <c r="D72" s="624"/>
      <c r="E72" s="56" t="s">
        <v>480</v>
      </c>
      <c r="F72" s="32" t="s">
        <v>481</v>
      </c>
      <c r="G72" s="15">
        <v>111</v>
      </c>
      <c r="H72" s="72">
        <f>'TABLA GENERAL'!D161</f>
        <v>29</v>
      </c>
      <c r="I72" s="114">
        <f t="shared" si="24"/>
        <v>3219</v>
      </c>
      <c r="J72" s="20">
        <v>0</v>
      </c>
      <c r="K72" s="60">
        <f t="shared" si="25"/>
        <v>0</v>
      </c>
      <c r="L72" s="15">
        <v>14</v>
      </c>
      <c r="M72" s="60">
        <f t="shared" ref="M72:M76" si="29">L72*H72</f>
        <v>406</v>
      </c>
      <c r="N72" s="15">
        <v>14</v>
      </c>
      <c r="O72" s="60">
        <f t="shared" si="26"/>
        <v>406</v>
      </c>
      <c r="P72" s="20">
        <f t="shared" si="27"/>
        <v>28</v>
      </c>
      <c r="Q72" s="60">
        <f t="shared" si="28"/>
        <v>812</v>
      </c>
    </row>
    <row r="73" spans="1:17" ht="30.75" thickBot="1" x14ac:dyDescent="0.3">
      <c r="A73" s="559" t="s">
        <v>473</v>
      </c>
      <c r="B73" s="551"/>
      <c r="C73" s="616"/>
      <c r="D73" s="624"/>
      <c r="E73" s="56" t="s">
        <v>120</v>
      </c>
      <c r="F73" s="32" t="s">
        <v>119</v>
      </c>
      <c r="G73" s="15">
        <v>68</v>
      </c>
      <c r="H73" s="72">
        <f>'TABLA GENERAL'!D167</f>
        <v>3202</v>
      </c>
      <c r="I73" s="114">
        <f t="shared" si="24"/>
        <v>217736</v>
      </c>
      <c r="J73" s="15">
        <v>14</v>
      </c>
      <c r="K73" s="60">
        <f>J73*H73</f>
        <v>44828</v>
      </c>
      <c r="L73" s="15">
        <v>14</v>
      </c>
      <c r="M73" s="60">
        <f t="shared" si="29"/>
        <v>44828</v>
      </c>
      <c r="N73" s="15">
        <v>14</v>
      </c>
      <c r="O73" s="60">
        <f t="shared" si="26"/>
        <v>44828</v>
      </c>
      <c r="P73" s="20">
        <f t="shared" si="27"/>
        <v>42</v>
      </c>
      <c r="Q73" s="60">
        <f t="shared" si="28"/>
        <v>134484</v>
      </c>
    </row>
    <row r="74" spans="1:17" ht="15.75" thickBot="1" x14ac:dyDescent="0.3">
      <c r="A74" s="559" t="s">
        <v>473</v>
      </c>
      <c r="B74" s="551"/>
      <c r="C74" s="616"/>
      <c r="D74" s="624"/>
      <c r="E74" s="56" t="s">
        <v>115</v>
      </c>
      <c r="F74" s="32" t="s">
        <v>114</v>
      </c>
      <c r="G74" s="15">
        <v>56</v>
      </c>
      <c r="H74" s="72">
        <f>'TABLA GENERAL'!D169</f>
        <v>3600</v>
      </c>
      <c r="I74" s="114">
        <f t="shared" si="24"/>
        <v>201600</v>
      </c>
      <c r="J74" s="15">
        <v>18</v>
      </c>
      <c r="K74" s="60">
        <f t="shared" si="25"/>
        <v>64800</v>
      </c>
      <c r="L74" s="15">
        <v>6</v>
      </c>
      <c r="M74" s="60">
        <f t="shared" si="29"/>
        <v>21600</v>
      </c>
      <c r="N74" s="15">
        <v>22</v>
      </c>
      <c r="O74" s="60">
        <f t="shared" si="26"/>
        <v>79200</v>
      </c>
      <c r="P74" s="20">
        <f t="shared" si="27"/>
        <v>46</v>
      </c>
      <c r="Q74" s="60">
        <f t="shared" si="28"/>
        <v>165600</v>
      </c>
    </row>
    <row r="75" spans="1:17" ht="15.75" thickBot="1" x14ac:dyDescent="0.3">
      <c r="A75" s="559" t="s">
        <v>473</v>
      </c>
      <c r="B75" s="551"/>
      <c r="C75" s="693"/>
      <c r="D75" s="694"/>
      <c r="E75" s="56" t="s">
        <v>109</v>
      </c>
      <c r="F75" s="32" t="s">
        <v>108</v>
      </c>
      <c r="G75" s="15">
        <v>36</v>
      </c>
      <c r="H75" s="59">
        <f>'TABLA GENERAL'!D178</f>
        <v>3305</v>
      </c>
      <c r="I75" s="114">
        <f t="shared" si="24"/>
        <v>118980</v>
      </c>
      <c r="J75" s="15">
        <v>14</v>
      </c>
      <c r="K75" s="60">
        <f t="shared" si="25"/>
        <v>46270</v>
      </c>
      <c r="L75" s="15">
        <v>0</v>
      </c>
      <c r="M75" s="60">
        <f t="shared" si="29"/>
        <v>0</v>
      </c>
      <c r="N75" s="15">
        <v>12</v>
      </c>
      <c r="O75" s="60">
        <f t="shared" si="26"/>
        <v>39660</v>
      </c>
      <c r="P75" s="20">
        <f t="shared" si="27"/>
        <v>26</v>
      </c>
      <c r="Q75" s="60">
        <f t="shared" si="28"/>
        <v>85930</v>
      </c>
    </row>
    <row r="76" spans="1:17" ht="16.5" customHeight="1" thickBot="1" x14ac:dyDescent="0.3">
      <c r="A76" s="559" t="s">
        <v>473</v>
      </c>
      <c r="B76" s="551"/>
      <c r="C76" s="695" t="s">
        <v>511</v>
      </c>
      <c r="D76" s="696"/>
      <c r="E76" s="56" t="s">
        <v>512</v>
      </c>
      <c r="F76" s="32" t="s">
        <v>513</v>
      </c>
      <c r="G76" s="15">
        <v>20</v>
      </c>
      <c r="H76" s="59">
        <f>'TABLA GENERAL'!D186</f>
        <v>1200</v>
      </c>
      <c r="I76" s="114">
        <f t="shared" si="24"/>
        <v>24000</v>
      </c>
      <c r="J76" s="15">
        <v>1</v>
      </c>
      <c r="K76" s="60">
        <f t="shared" si="25"/>
        <v>1200</v>
      </c>
      <c r="L76" s="15">
        <v>1</v>
      </c>
      <c r="M76" s="60">
        <f t="shared" si="29"/>
        <v>1200</v>
      </c>
      <c r="N76" s="15">
        <v>4</v>
      </c>
      <c r="O76" s="60">
        <f t="shared" si="26"/>
        <v>4800</v>
      </c>
      <c r="P76" s="20">
        <f t="shared" si="27"/>
        <v>6</v>
      </c>
      <c r="Q76" s="60">
        <f t="shared" si="28"/>
        <v>7200</v>
      </c>
    </row>
    <row r="77" spans="1:17" ht="17.25" thickBot="1" x14ac:dyDescent="0.3">
      <c r="A77" s="112"/>
      <c r="B77" s="112"/>
      <c r="C77" s="112"/>
      <c r="D77" s="112"/>
      <c r="E77" s="112"/>
      <c r="F77" s="112" t="s">
        <v>516</v>
      </c>
      <c r="G77" s="112"/>
      <c r="H77" s="112"/>
      <c r="I77" s="118">
        <f>SUM(I70:I76)</f>
        <v>603943</v>
      </c>
      <c r="J77" s="112"/>
      <c r="K77" s="119">
        <f>SUM(K70:K76)</f>
        <v>157098</v>
      </c>
      <c r="L77" s="112"/>
      <c r="M77" s="119">
        <f>SUM(M70:M76)</f>
        <v>72850</v>
      </c>
      <c r="N77" s="112"/>
      <c r="O77" s="119">
        <f>SUM(O70:O76)</f>
        <v>173710</v>
      </c>
      <c r="P77" s="112"/>
      <c r="Q77" s="119">
        <f>SUM(Q70:Q76)</f>
        <v>403658</v>
      </c>
    </row>
    <row r="78" spans="1:17" ht="14.45" x14ac:dyDescent="0.3">
      <c r="Q78" s="317"/>
    </row>
    <row r="79" spans="1:17" thickBot="1" x14ac:dyDescent="0.35">
      <c r="Q79" s="317"/>
    </row>
    <row r="80" spans="1:17" ht="47.25" customHeight="1" thickBot="1" x14ac:dyDescent="0.3">
      <c r="B80" s="195"/>
      <c r="C80" s="195"/>
      <c r="D80" s="195"/>
      <c r="E80" s="195"/>
      <c r="F80" s="617" t="s">
        <v>517</v>
      </c>
      <c r="G80" s="618"/>
      <c r="H80" s="618"/>
      <c r="I80" s="618"/>
      <c r="J80" s="618"/>
      <c r="K80" s="618"/>
      <c r="L80" s="618"/>
      <c r="M80" s="618"/>
      <c r="N80" s="618"/>
      <c r="O80" s="618"/>
      <c r="P80" s="618"/>
      <c r="Q80" s="619"/>
    </row>
    <row r="81" spans="1:17" ht="28.15" thickBot="1" x14ac:dyDescent="0.35">
      <c r="A81" s="314" t="s">
        <v>228</v>
      </c>
      <c r="B81" s="597"/>
      <c r="C81" s="555"/>
      <c r="D81" s="555"/>
      <c r="E81" s="598"/>
      <c r="F81" s="314" t="s">
        <v>85</v>
      </c>
      <c r="G81" s="314" t="s">
        <v>229</v>
      </c>
      <c r="H81" s="314" t="s">
        <v>123</v>
      </c>
      <c r="I81" s="113" t="s">
        <v>230</v>
      </c>
      <c r="J81" s="314">
        <v>2021</v>
      </c>
      <c r="K81" s="314" t="s">
        <v>79</v>
      </c>
      <c r="L81" s="314">
        <v>2022</v>
      </c>
      <c r="M81" s="314" t="s">
        <v>79</v>
      </c>
      <c r="N81" s="314">
        <v>2023</v>
      </c>
      <c r="O81" s="314" t="s">
        <v>79</v>
      </c>
      <c r="P81" s="314" t="s">
        <v>756</v>
      </c>
      <c r="Q81" s="314" t="s">
        <v>79</v>
      </c>
    </row>
    <row r="82" spans="1:17" ht="45.75" thickBot="1" x14ac:dyDescent="0.3">
      <c r="A82" s="559" t="s">
        <v>517</v>
      </c>
      <c r="B82" s="550" t="s">
        <v>517</v>
      </c>
      <c r="C82" s="586" t="s">
        <v>519</v>
      </c>
      <c r="D82" s="588"/>
      <c r="E82" s="56" t="s">
        <v>128</v>
      </c>
      <c r="F82" s="32" t="s">
        <v>129</v>
      </c>
      <c r="G82" s="15">
        <v>2</v>
      </c>
      <c r="H82" s="59">
        <f>'TABLA GENERAL'!D199</f>
        <v>244998.75</v>
      </c>
      <c r="I82" s="114">
        <f t="shared" ref="I82:I90" si="30">+H82*G82</f>
        <v>489997.5</v>
      </c>
      <c r="J82" s="51">
        <v>0</v>
      </c>
      <c r="K82" s="60">
        <f t="shared" ref="K82:K90" si="31">J82*H82</f>
        <v>0</v>
      </c>
      <c r="L82" s="15">
        <v>1</v>
      </c>
      <c r="M82" s="60">
        <f t="shared" ref="M82:M90" si="32">L82*H82</f>
        <v>244998.75</v>
      </c>
      <c r="N82" s="15">
        <v>1</v>
      </c>
      <c r="O82" s="60">
        <f t="shared" ref="O82:O90" si="33">N82*H82</f>
        <v>244998.75</v>
      </c>
      <c r="P82" s="15">
        <f t="shared" ref="P82:P90" si="34">+N82+L82+J82</f>
        <v>2</v>
      </c>
      <c r="Q82" s="60">
        <f t="shared" ref="Q82:Q90" si="35">+P82*H82</f>
        <v>489997.5</v>
      </c>
    </row>
    <row r="83" spans="1:17" ht="30.75" thickBot="1" x14ac:dyDescent="0.3">
      <c r="A83" s="559" t="s">
        <v>517</v>
      </c>
      <c r="B83" s="551"/>
      <c r="C83" s="616"/>
      <c r="D83" s="697"/>
      <c r="E83" s="56" t="s">
        <v>130</v>
      </c>
      <c r="F83" s="32" t="s">
        <v>131</v>
      </c>
      <c r="G83" s="15">
        <v>2</v>
      </c>
      <c r="H83" s="59">
        <f>'TABLA GENERAL'!D200</f>
        <v>54499</v>
      </c>
      <c r="I83" s="114">
        <f t="shared" si="30"/>
        <v>108998</v>
      </c>
      <c r="J83" s="51">
        <v>0</v>
      </c>
      <c r="K83" s="60">
        <f t="shared" si="31"/>
        <v>0</v>
      </c>
      <c r="L83" s="15">
        <v>0</v>
      </c>
      <c r="M83" s="60">
        <f t="shared" si="32"/>
        <v>0</v>
      </c>
      <c r="N83" s="15">
        <v>2</v>
      </c>
      <c r="O83" s="60">
        <f t="shared" si="33"/>
        <v>108998</v>
      </c>
      <c r="P83" s="15">
        <f t="shared" si="34"/>
        <v>2</v>
      </c>
      <c r="Q83" s="60">
        <f t="shared" si="35"/>
        <v>108998</v>
      </c>
    </row>
    <row r="84" spans="1:17" ht="49.5" customHeight="1" thickBot="1" x14ac:dyDescent="0.3">
      <c r="A84" s="559" t="s">
        <v>517</v>
      </c>
      <c r="B84" s="551"/>
      <c r="C84" s="616"/>
      <c r="D84" s="697"/>
      <c r="E84" s="56" t="s">
        <v>132</v>
      </c>
      <c r="F84" s="32" t="s">
        <v>133</v>
      </c>
      <c r="G84" s="15">
        <v>4</v>
      </c>
      <c r="H84" s="59">
        <f>'TABLA GENERAL'!D201</f>
        <v>57249</v>
      </c>
      <c r="I84" s="114">
        <f t="shared" si="30"/>
        <v>228996</v>
      </c>
      <c r="J84" s="51">
        <v>0</v>
      </c>
      <c r="K84" s="60">
        <f t="shared" si="31"/>
        <v>0</v>
      </c>
      <c r="L84" s="15">
        <v>1</v>
      </c>
      <c r="M84" s="60">
        <f t="shared" si="32"/>
        <v>57249</v>
      </c>
      <c r="N84" s="15">
        <v>3</v>
      </c>
      <c r="O84" s="60">
        <f t="shared" si="33"/>
        <v>171747</v>
      </c>
      <c r="P84" s="15">
        <f t="shared" si="34"/>
        <v>4</v>
      </c>
      <c r="Q84" s="60">
        <f t="shared" si="35"/>
        <v>228996</v>
      </c>
    </row>
    <row r="85" spans="1:17" ht="30.75" thickBot="1" x14ac:dyDescent="0.3">
      <c r="A85" s="559" t="s">
        <v>517</v>
      </c>
      <c r="B85" s="551"/>
      <c r="C85" s="616"/>
      <c r="D85" s="697"/>
      <c r="E85" s="56" t="s">
        <v>524</v>
      </c>
      <c r="F85" s="32" t="s">
        <v>525</v>
      </c>
      <c r="G85" s="15">
        <v>8</v>
      </c>
      <c r="H85" s="59">
        <f>'TABLA GENERAL'!D204</f>
        <v>659.99</v>
      </c>
      <c r="I85" s="114">
        <f t="shared" si="30"/>
        <v>5279.92</v>
      </c>
      <c r="J85" s="51">
        <v>0</v>
      </c>
      <c r="K85" s="60">
        <f t="shared" si="31"/>
        <v>0</v>
      </c>
      <c r="L85" s="15">
        <v>2</v>
      </c>
      <c r="M85" s="60">
        <f t="shared" si="32"/>
        <v>1319.98</v>
      </c>
      <c r="N85" s="15">
        <v>0</v>
      </c>
      <c r="O85" s="60">
        <f t="shared" si="33"/>
        <v>0</v>
      </c>
      <c r="P85" s="15">
        <f t="shared" si="34"/>
        <v>2</v>
      </c>
      <c r="Q85" s="60">
        <f t="shared" si="35"/>
        <v>1319.98</v>
      </c>
    </row>
    <row r="86" spans="1:17" ht="15.75" thickBot="1" x14ac:dyDescent="0.3">
      <c r="A86" s="559" t="s">
        <v>517</v>
      </c>
      <c r="B86" s="551"/>
      <c r="C86" s="589"/>
      <c r="D86" s="591"/>
      <c r="E86" s="56" t="s">
        <v>526</v>
      </c>
      <c r="F86" s="32" t="s">
        <v>527</v>
      </c>
      <c r="G86" s="15">
        <v>45</v>
      </c>
      <c r="H86" s="59">
        <f>'TABLA GENERAL'!D205</f>
        <v>2410.9</v>
      </c>
      <c r="I86" s="114">
        <f t="shared" si="30"/>
        <v>108490.5</v>
      </c>
      <c r="J86" s="51">
        <v>0</v>
      </c>
      <c r="K86" s="60">
        <f t="shared" si="31"/>
        <v>0</v>
      </c>
      <c r="L86" s="15">
        <v>2</v>
      </c>
      <c r="M86" s="60">
        <f t="shared" si="32"/>
        <v>4821.8</v>
      </c>
      <c r="N86" s="15">
        <v>0</v>
      </c>
      <c r="O86" s="60">
        <f t="shared" si="33"/>
        <v>0</v>
      </c>
      <c r="P86" s="15">
        <f t="shared" si="34"/>
        <v>2</v>
      </c>
      <c r="Q86" s="60">
        <f t="shared" si="35"/>
        <v>4821.8</v>
      </c>
    </row>
    <row r="87" spans="1:17" ht="15.75" thickBot="1" x14ac:dyDescent="0.3">
      <c r="A87" s="559" t="s">
        <v>517</v>
      </c>
      <c r="B87" s="551"/>
      <c r="C87" s="616" t="s">
        <v>528</v>
      </c>
      <c r="D87" s="624"/>
      <c r="E87" s="56" t="s">
        <v>135</v>
      </c>
      <c r="F87" s="32" t="s">
        <v>136</v>
      </c>
      <c r="G87" s="15">
        <v>13</v>
      </c>
      <c r="H87" s="59">
        <f>'TABLA GENERAL'!D206</f>
        <v>11022</v>
      </c>
      <c r="I87" s="114">
        <f t="shared" si="30"/>
        <v>143286</v>
      </c>
      <c r="J87" s="51">
        <v>0</v>
      </c>
      <c r="K87" s="60">
        <f t="shared" si="31"/>
        <v>0</v>
      </c>
      <c r="L87" s="15">
        <v>0</v>
      </c>
      <c r="M87" s="60">
        <f t="shared" si="32"/>
        <v>0</v>
      </c>
      <c r="N87" s="15">
        <v>3</v>
      </c>
      <c r="O87" s="60">
        <f t="shared" si="33"/>
        <v>33066</v>
      </c>
      <c r="P87" s="15">
        <f t="shared" si="34"/>
        <v>3</v>
      </c>
      <c r="Q87" s="60">
        <f t="shared" si="35"/>
        <v>33066</v>
      </c>
    </row>
    <row r="88" spans="1:17" ht="30.75" thickBot="1" x14ac:dyDescent="0.3">
      <c r="A88" s="559" t="s">
        <v>517</v>
      </c>
      <c r="B88" s="551"/>
      <c r="C88" s="616"/>
      <c r="D88" s="624"/>
      <c r="E88" s="56" t="s">
        <v>529</v>
      </c>
      <c r="F88" s="32" t="s">
        <v>530</v>
      </c>
      <c r="G88" s="15">
        <v>52</v>
      </c>
      <c r="H88" s="59">
        <f>'TABLA GENERAL'!D207</f>
        <v>2134</v>
      </c>
      <c r="I88" s="114">
        <f t="shared" si="30"/>
        <v>110968</v>
      </c>
      <c r="J88" s="51">
        <v>0</v>
      </c>
      <c r="K88" s="60">
        <f t="shared" si="31"/>
        <v>0</v>
      </c>
      <c r="L88" s="15">
        <v>2</v>
      </c>
      <c r="M88" s="60">
        <f t="shared" si="32"/>
        <v>4268</v>
      </c>
      <c r="N88" s="15">
        <v>0</v>
      </c>
      <c r="O88" s="60">
        <f t="shared" si="33"/>
        <v>0</v>
      </c>
      <c r="P88" s="15">
        <f t="shared" si="34"/>
        <v>2</v>
      </c>
      <c r="Q88" s="60">
        <f t="shared" si="35"/>
        <v>4268</v>
      </c>
    </row>
    <row r="89" spans="1:17" ht="15.75" thickBot="1" x14ac:dyDescent="0.3">
      <c r="A89" s="559" t="s">
        <v>517</v>
      </c>
      <c r="B89" s="551"/>
      <c r="C89" s="693"/>
      <c r="D89" s="694"/>
      <c r="E89" s="56" t="s">
        <v>141</v>
      </c>
      <c r="F89" s="32" t="s">
        <v>142</v>
      </c>
      <c r="G89" s="15">
        <v>2</v>
      </c>
      <c r="H89" s="59">
        <f>'TABLA GENERAL'!D210</f>
        <v>181147</v>
      </c>
      <c r="I89" s="114">
        <f t="shared" si="30"/>
        <v>362294</v>
      </c>
      <c r="J89" s="51">
        <v>0</v>
      </c>
      <c r="K89" s="60">
        <f t="shared" si="31"/>
        <v>0</v>
      </c>
      <c r="L89" s="15">
        <v>0</v>
      </c>
      <c r="M89" s="60">
        <f t="shared" si="32"/>
        <v>0</v>
      </c>
      <c r="N89" s="15">
        <v>1</v>
      </c>
      <c r="O89" s="60">
        <f t="shared" si="33"/>
        <v>181147</v>
      </c>
      <c r="P89" s="15">
        <f t="shared" si="34"/>
        <v>1</v>
      </c>
      <c r="Q89" s="60">
        <f t="shared" si="35"/>
        <v>181147</v>
      </c>
    </row>
    <row r="90" spans="1:17" ht="37.5" customHeight="1" thickBot="1" x14ac:dyDescent="0.3">
      <c r="A90" s="559"/>
      <c r="B90" s="552"/>
      <c r="C90" s="695" t="s">
        <v>531</v>
      </c>
      <c r="D90" s="696"/>
      <c r="E90" s="56" t="s">
        <v>532</v>
      </c>
      <c r="F90" s="257" t="s">
        <v>533</v>
      </c>
      <c r="G90" s="318">
        <v>4</v>
      </c>
      <c r="H90" s="319">
        <v>1800</v>
      </c>
      <c r="I90" s="320">
        <f t="shared" si="30"/>
        <v>7200</v>
      </c>
      <c r="J90" s="321">
        <v>2</v>
      </c>
      <c r="K90" s="322">
        <f t="shared" si="31"/>
        <v>3600</v>
      </c>
      <c r="L90" s="318">
        <v>0</v>
      </c>
      <c r="M90" s="322">
        <f t="shared" si="32"/>
        <v>0</v>
      </c>
      <c r="N90" s="318">
        <v>2</v>
      </c>
      <c r="O90" s="322">
        <f t="shared" si="33"/>
        <v>3600</v>
      </c>
      <c r="P90" s="318">
        <f t="shared" si="34"/>
        <v>4</v>
      </c>
      <c r="Q90" s="322">
        <f t="shared" si="35"/>
        <v>7200</v>
      </c>
    </row>
    <row r="91" spans="1:17" ht="17.25" thickBot="1" x14ac:dyDescent="0.3">
      <c r="A91" s="112"/>
      <c r="B91" s="112"/>
      <c r="C91" s="112"/>
      <c r="D91" s="112"/>
      <c r="E91" s="112"/>
      <c r="F91" s="112" t="s">
        <v>534</v>
      </c>
      <c r="G91" s="112"/>
      <c r="H91" s="112"/>
      <c r="I91" s="118">
        <f>SUM(I82:I90)</f>
        <v>1565509.92</v>
      </c>
      <c r="J91" s="112"/>
      <c r="K91" s="119">
        <f>SUM(K82:K90)</f>
        <v>3600</v>
      </c>
      <c r="L91" s="112"/>
      <c r="M91" s="119">
        <f>SUM(M82:M90)</f>
        <v>312657.52999999997</v>
      </c>
      <c r="N91" s="112"/>
      <c r="O91" s="119">
        <f>SUM(O82:O90)</f>
        <v>743556.75</v>
      </c>
      <c r="P91" s="112"/>
      <c r="Q91" s="119">
        <f>SUM(Q82:Q90)</f>
        <v>1059814.28</v>
      </c>
    </row>
    <row r="92" spans="1:17" ht="15.75" thickBot="1" x14ac:dyDescent="0.3">
      <c r="Q92" s="317"/>
    </row>
    <row r="93" spans="1:17" ht="47.25" customHeight="1" thickBot="1" x14ac:dyDescent="0.3">
      <c r="B93" s="195"/>
      <c r="C93" s="195"/>
      <c r="D93" s="195"/>
      <c r="E93" s="195"/>
      <c r="F93" s="617" t="s">
        <v>535</v>
      </c>
      <c r="G93" s="618"/>
      <c r="H93" s="618"/>
      <c r="I93" s="618"/>
      <c r="J93" s="618"/>
      <c r="K93" s="618"/>
      <c r="L93" s="618"/>
      <c r="M93" s="618"/>
      <c r="N93" s="618"/>
      <c r="O93" s="618"/>
      <c r="P93" s="618"/>
      <c r="Q93" s="619"/>
    </row>
    <row r="94" spans="1:17" ht="50.25" customHeight="1" thickBot="1" x14ac:dyDescent="0.3">
      <c r="A94" s="314" t="s">
        <v>228</v>
      </c>
      <c r="B94" s="610" t="s">
        <v>536</v>
      </c>
      <c r="C94" s="622"/>
      <c r="D94" s="622"/>
      <c r="E94" s="125"/>
      <c r="F94" s="314" t="s">
        <v>85</v>
      </c>
      <c r="G94" s="314" t="s">
        <v>229</v>
      </c>
      <c r="H94" s="112" t="s">
        <v>123</v>
      </c>
      <c r="I94" s="118" t="s">
        <v>230</v>
      </c>
      <c r="J94" s="314">
        <v>2021</v>
      </c>
      <c r="K94" s="314" t="s">
        <v>79</v>
      </c>
      <c r="L94" s="314">
        <v>2022</v>
      </c>
      <c r="M94" s="314" t="s">
        <v>79</v>
      </c>
      <c r="N94" s="314">
        <v>2023</v>
      </c>
      <c r="O94" s="314" t="s">
        <v>79</v>
      </c>
      <c r="P94" s="314" t="s">
        <v>756</v>
      </c>
      <c r="Q94" s="314" t="s">
        <v>79</v>
      </c>
    </row>
    <row r="95" spans="1:17" ht="42.75" customHeight="1" thickBot="1" x14ac:dyDescent="0.3">
      <c r="A95" s="558" t="s">
        <v>535</v>
      </c>
      <c r="B95" s="612"/>
      <c r="C95" s="623"/>
      <c r="D95" s="623"/>
      <c r="E95" s="56" t="s">
        <v>168</v>
      </c>
      <c r="F95" s="48" t="s">
        <v>169</v>
      </c>
      <c r="G95" s="47">
        <v>8</v>
      </c>
      <c r="H95" s="72">
        <f>'TABLA GENERAL'!D227</f>
        <v>90850</v>
      </c>
      <c r="I95" s="114">
        <f>H95*G95</f>
        <v>726800</v>
      </c>
      <c r="J95" s="47">
        <v>3</v>
      </c>
      <c r="K95" s="60">
        <f t="shared" ref="K95:K104" si="36">J95*H95</f>
        <v>272550</v>
      </c>
      <c r="L95" s="47">
        <v>2</v>
      </c>
      <c r="M95" s="60">
        <f t="shared" ref="M95:M104" si="37">L95*H95</f>
        <v>181700</v>
      </c>
      <c r="N95" s="47">
        <v>0</v>
      </c>
      <c r="O95" s="60">
        <f t="shared" ref="O95:O104" si="38">N95*H95</f>
        <v>0</v>
      </c>
      <c r="P95" s="47">
        <f t="shared" ref="P95" si="39">+N95+L95+J95</f>
        <v>5</v>
      </c>
      <c r="Q95" s="60">
        <f t="shared" ref="Q95" si="40">+P95*H95</f>
        <v>454250</v>
      </c>
    </row>
    <row r="96" spans="1:17" ht="43.5" customHeight="1" thickBot="1" x14ac:dyDescent="0.3">
      <c r="A96" s="559" t="s">
        <v>535</v>
      </c>
      <c r="B96" s="612"/>
      <c r="C96" s="623"/>
      <c r="D96" s="623"/>
      <c r="E96" s="56" t="s">
        <v>171</v>
      </c>
      <c r="F96" s="32" t="s">
        <v>172</v>
      </c>
      <c r="G96" s="15">
        <v>9</v>
      </c>
      <c r="H96" s="72">
        <f>'TABLA GENERAL'!D228</f>
        <v>4932</v>
      </c>
      <c r="I96" s="114">
        <f t="shared" ref="I96:I104" si="41">H96*G96</f>
        <v>44388</v>
      </c>
      <c r="J96" s="15">
        <v>3</v>
      </c>
      <c r="K96" s="60">
        <f t="shared" si="36"/>
        <v>14796</v>
      </c>
      <c r="L96" s="15">
        <v>4</v>
      </c>
      <c r="M96" s="60">
        <f t="shared" si="37"/>
        <v>19728</v>
      </c>
      <c r="N96" s="15">
        <v>0</v>
      </c>
      <c r="O96" s="60">
        <f t="shared" si="38"/>
        <v>0</v>
      </c>
      <c r="P96" s="47">
        <f t="shared" ref="P96:P104" si="42">+N96+L96+J96</f>
        <v>7</v>
      </c>
      <c r="Q96" s="60">
        <f t="shared" ref="Q96:Q104" si="43">+P96*H96</f>
        <v>34524</v>
      </c>
    </row>
    <row r="97" spans="1:17" ht="31.5" customHeight="1" thickBot="1" x14ac:dyDescent="0.3">
      <c r="A97" s="559" t="s">
        <v>535</v>
      </c>
      <c r="B97" s="612"/>
      <c r="C97" s="623"/>
      <c r="D97" s="623"/>
      <c r="E97" s="56" t="s">
        <v>173</v>
      </c>
      <c r="F97" s="32" t="s">
        <v>174</v>
      </c>
      <c r="G97" s="15">
        <v>18</v>
      </c>
      <c r="H97" s="72">
        <f>'TABLA GENERAL'!D229</f>
        <v>92</v>
      </c>
      <c r="I97" s="114">
        <f t="shared" si="41"/>
        <v>1656</v>
      </c>
      <c r="J97" s="15">
        <v>6</v>
      </c>
      <c r="K97" s="60">
        <f t="shared" si="36"/>
        <v>552</v>
      </c>
      <c r="L97" s="15">
        <v>8</v>
      </c>
      <c r="M97" s="60">
        <f t="shared" si="37"/>
        <v>736</v>
      </c>
      <c r="N97" s="15">
        <v>0</v>
      </c>
      <c r="O97" s="60">
        <f t="shared" si="38"/>
        <v>0</v>
      </c>
      <c r="P97" s="47">
        <f t="shared" si="42"/>
        <v>14</v>
      </c>
      <c r="Q97" s="60">
        <f t="shared" si="43"/>
        <v>1288</v>
      </c>
    </row>
    <row r="98" spans="1:17" ht="25.5" customHeight="1" thickBot="1" x14ac:dyDescent="0.3">
      <c r="A98" s="559" t="s">
        <v>535</v>
      </c>
      <c r="B98" s="612"/>
      <c r="C98" s="623"/>
      <c r="D98" s="623"/>
      <c r="E98" s="56" t="s">
        <v>176</v>
      </c>
      <c r="F98" s="32" t="s">
        <v>177</v>
      </c>
      <c r="G98" s="15">
        <v>9</v>
      </c>
      <c r="H98" s="72">
        <f>'TABLA GENERAL'!D230</f>
        <v>65</v>
      </c>
      <c r="I98" s="114">
        <f t="shared" si="41"/>
        <v>585</v>
      </c>
      <c r="J98" s="15">
        <v>3</v>
      </c>
      <c r="K98" s="60">
        <f t="shared" si="36"/>
        <v>195</v>
      </c>
      <c r="L98" s="15">
        <v>4</v>
      </c>
      <c r="M98" s="60">
        <f t="shared" si="37"/>
        <v>260</v>
      </c>
      <c r="N98" s="15">
        <v>0</v>
      </c>
      <c r="O98" s="60">
        <f t="shared" si="38"/>
        <v>0</v>
      </c>
      <c r="P98" s="47">
        <f t="shared" si="42"/>
        <v>7</v>
      </c>
      <c r="Q98" s="60">
        <f t="shared" si="43"/>
        <v>455</v>
      </c>
    </row>
    <row r="99" spans="1:17" ht="30" customHeight="1" thickBot="1" x14ac:dyDescent="0.3">
      <c r="A99" s="559" t="s">
        <v>535</v>
      </c>
      <c r="B99" s="612"/>
      <c r="C99" s="623"/>
      <c r="D99" s="623"/>
      <c r="E99" s="56" t="s">
        <v>537</v>
      </c>
      <c r="F99" s="32" t="s">
        <v>538</v>
      </c>
      <c r="G99" s="15">
        <v>9</v>
      </c>
      <c r="H99" s="72">
        <f>'TABLA GENERAL'!D231</f>
        <v>2750</v>
      </c>
      <c r="I99" s="114">
        <f t="shared" si="41"/>
        <v>24750</v>
      </c>
      <c r="J99" s="15">
        <v>3</v>
      </c>
      <c r="K99" s="60">
        <f t="shared" si="36"/>
        <v>8250</v>
      </c>
      <c r="L99" s="15">
        <v>4</v>
      </c>
      <c r="M99" s="60">
        <f t="shared" si="37"/>
        <v>11000</v>
      </c>
      <c r="N99" s="15">
        <v>0</v>
      </c>
      <c r="O99" s="60">
        <f t="shared" si="38"/>
        <v>0</v>
      </c>
      <c r="P99" s="47">
        <f t="shared" si="42"/>
        <v>7</v>
      </c>
      <c r="Q99" s="60">
        <f t="shared" si="43"/>
        <v>19250</v>
      </c>
    </row>
    <row r="100" spans="1:17" ht="40.5" customHeight="1" thickBot="1" x14ac:dyDescent="0.3">
      <c r="A100" s="559" t="s">
        <v>535</v>
      </c>
      <c r="B100" s="612"/>
      <c r="C100" s="623"/>
      <c r="D100" s="623"/>
      <c r="E100" s="56" t="s">
        <v>539</v>
      </c>
      <c r="F100" s="32" t="s">
        <v>540</v>
      </c>
      <c r="G100" s="15">
        <v>9</v>
      </c>
      <c r="H100" s="72">
        <f>'TABLA GENERAL'!D232</f>
        <v>1240</v>
      </c>
      <c r="I100" s="114">
        <f t="shared" si="41"/>
        <v>11160</v>
      </c>
      <c r="J100" s="15">
        <v>3</v>
      </c>
      <c r="K100" s="60">
        <f t="shared" si="36"/>
        <v>3720</v>
      </c>
      <c r="L100" s="15">
        <v>4</v>
      </c>
      <c r="M100" s="60">
        <f t="shared" si="37"/>
        <v>4960</v>
      </c>
      <c r="N100" s="15">
        <v>0</v>
      </c>
      <c r="O100" s="60">
        <f t="shared" si="38"/>
        <v>0</v>
      </c>
      <c r="P100" s="47">
        <f t="shared" si="42"/>
        <v>7</v>
      </c>
      <c r="Q100" s="60">
        <f t="shared" si="43"/>
        <v>8680</v>
      </c>
    </row>
    <row r="101" spans="1:17" ht="24.75" customHeight="1" thickBot="1" x14ac:dyDescent="0.3">
      <c r="A101" s="559" t="s">
        <v>535</v>
      </c>
      <c r="B101" s="612"/>
      <c r="C101" s="623"/>
      <c r="D101" s="623"/>
      <c r="E101" s="56" t="s">
        <v>541</v>
      </c>
      <c r="F101" s="32" t="s">
        <v>542</v>
      </c>
      <c r="G101" s="15">
        <v>9</v>
      </c>
      <c r="H101" s="72">
        <f>'TABLA GENERAL'!D233</f>
        <v>62</v>
      </c>
      <c r="I101" s="114">
        <f t="shared" si="41"/>
        <v>558</v>
      </c>
      <c r="J101" s="15">
        <v>3</v>
      </c>
      <c r="K101" s="60">
        <f t="shared" si="36"/>
        <v>186</v>
      </c>
      <c r="L101" s="15">
        <v>4</v>
      </c>
      <c r="M101" s="60">
        <f t="shared" si="37"/>
        <v>248</v>
      </c>
      <c r="N101" s="15">
        <v>0</v>
      </c>
      <c r="O101" s="60">
        <f t="shared" si="38"/>
        <v>0</v>
      </c>
      <c r="P101" s="47">
        <f t="shared" si="42"/>
        <v>7</v>
      </c>
      <c r="Q101" s="60">
        <f t="shared" si="43"/>
        <v>434</v>
      </c>
    </row>
    <row r="102" spans="1:17" ht="27" customHeight="1" thickBot="1" x14ac:dyDescent="0.3">
      <c r="A102" s="559" t="s">
        <v>535</v>
      </c>
      <c r="B102" s="612"/>
      <c r="C102" s="623"/>
      <c r="D102" s="623"/>
      <c r="E102" s="56" t="s">
        <v>543</v>
      </c>
      <c r="F102" s="32" t="s">
        <v>544</v>
      </c>
      <c r="G102" s="15">
        <v>9</v>
      </c>
      <c r="H102" s="72">
        <f>'TABLA GENERAL'!D234</f>
        <v>65</v>
      </c>
      <c r="I102" s="114">
        <f t="shared" si="41"/>
        <v>585</v>
      </c>
      <c r="J102" s="15">
        <v>3</v>
      </c>
      <c r="K102" s="60">
        <f t="shared" si="36"/>
        <v>195</v>
      </c>
      <c r="L102" s="15">
        <v>4</v>
      </c>
      <c r="M102" s="60">
        <f t="shared" si="37"/>
        <v>260</v>
      </c>
      <c r="N102" s="15">
        <v>0</v>
      </c>
      <c r="O102" s="60">
        <f t="shared" si="38"/>
        <v>0</v>
      </c>
      <c r="P102" s="47">
        <f t="shared" si="42"/>
        <v>7</v>
      </c>
      <c r="Q102" s="60">
        <f t="shared" si="43"/>
        <v>455</v>
      </c>
    </row>
    <row r="103" spans="1:17" ht="33.75" customHeight="1" thickBot="1" x14ac:dyDescent="0.3">
      <c r="A103" s="559" t="s">
        <v>535</v>
      </c>
      <c r="B103" s="612"/>
      <c r="C103" s="623"/>
      <c r="D103" s="623"/>
      <c r="E103" s="56" t="s">
        <v>545</v>
      </c>
      <c r="F103" s="32" t="s">
        <v>546</v>
      </c>
      <c r="G103" s="15">
        <v>9</v>
      </c>
      <c r="H103" s="72">
        <f>'TABLA GENERAL'!D235</f>
        <v>500</v>
      </c>
      <c r="I103" s="114">
        <f t="shared" si="41"/>
        <v>4500</v>
      </c>
      <c r="J103" s="15">
        <v>3</v>
      </c>
      <c r="K103" s="60">
        <f t="shared" si="36"/>
        <v>1500</v>
      </c>
      <c r="L103" s="15">
        <v>4</v>
      </c>
      <c r="M103" s="60">
        <f t="shared" si="37"/>
        <v>2000</v>
      </c>
      <c r="N103" s="15">
        <v>0</v>
      </c>
      <c r="O103" s="60">
        <f t="shared" si="38"/>
        <v>0</v>
      </c>
      <c r="P103" s="47">
        <f t="shared" si="42"/>
        <v>7</v>
      </c>
      <c r="Q103" s="60">
        <f t="shared" si="43"/>
        <v>3500</v>
      </c>
    </row>
    <row r="104" spans="1:17" ht="30" customHeight="1" thickBot="1" x14ac:dyDescent="0.3">
      <c r="A104" s="560" t="s">
        <v>535</v>
      </c>
      <c r="B104" s="126"/>
      <c r="C104" s="127"/>
      <c r="D104" s="127"/>
      <c r="E104" s="56" t="s">
        <v>547</v>
      </c>
      <c r="F104" s="57" t="s">
        <v>548</v>
      </c>
      <c r="G104" s="51">
        <v>9</v>
      </c>
      <c r="H104" s="72">
        <f>'TABLA GENERAL'!D236</f>
        <v>218</v>
      </c>
      <c r="I104" s="114">
        <f t="shared" si="41"/>
        <v>1962</v>
      </c>
      <c r="J104" s="15">
        <v>3</v>
      </c>
      <c r="K104" s="60">
        <f t="shared" si="36"/>
        <v>654</v>
      </c>
      <c r="L104" s="51">
        <v>4</v>
      </c>
      <c r="M104" s="60">
        <f t="shared" si="37"/>
        <v>872</v>
      </c>
      <c r="N104" s="51">
        <v>0</v>
      </c>
      <c r="O104" s="60">
        <f t="shared" si="38"/>
        <v>0</v>
      </c>
      <c r="P104" s="47">
        <f t="shared" si="42"/>
        <v>7</v>
      </c>
      <c r="Q104" s="60">
        <f t="shared" si="43"/>
        <v>1526</v>
      </c>
    </row>
    <row r="105" spans="1:17" ht="17.25" thickBot="1" x14ac:dyDescent="0.3">
      <c r="A105" s="112"/>
      <c r="B105" s="112"/>
      <c r="C105" s="112"/>
      <c r="D105" s="112"/>
      <c r="E105" s="112"/>
      <c r="F105" s="112" t="s">
        <v>549</v>
      </c>
      <c r="G105" s="112"/>
      <c r="H105" s="112"/>
      <c r="I105" s="118">
        <f>SUM(I95:I104)</f>
        <v>816944</v>
      </c>
      <c r="J105" s="112"/>
      <c r="K105" s="119">
        <f>SUM(K95:K104)</f>
        <v>302598</v>
      </c>
      <c r="L105" s="112"/>
      <c r="M105" s="119">
        <f>SUM(M95:M104)</f>
        <v>221764</v>
      </c>
      <c r="N105" s="112"/>
      <c r="O105" s="119">
        <f>SUM(O95:O104)</f>
        <v>0</v>
      </c>
      <c r="P105" s="112"/>
      <c r="Q105" s="119">
        <f>SUM(Q95:Q104)</f>
        <v>524362</v>
      </c>
    </row>
    <row r="106" spans="1:17" ht="15.75" thickBot="1" x14ac:dyDescent="0.3">
      <c r="Q106" s="317"/>
    </row>
    <row r="107" spans="1:17" ht="47.25" customHeight="1" thickBot="1" x14ac:dyDescent="0.3">
      <c r="B107" s="195"/>
      <c r="C107" s="195"/>
      <c r="D107" s="195"/>
      <c r="E107" s="195"/>
      <c r="F107" s="617" t="s">
        <v>554</v>
      </c>
      <c r="G107" s="618"/>
      <c r="H107" s="618"/>
      <c r="I107" s="618"/>
      <c r="J107" s="618"/>
      <c r="K107" s="618"/>
      <c r="L107" s="618"/>
      <c r="M107" s="618"/>
      <c r="N107" s="618"/>
      <c r="O107" s="618"/>
      <c r="P107" s="618"/>
      <c r="Q107" s="619"/>
    </row>
    <row r="108" spans="1:17" ht="50.25" customHeight="1" thickBot="1" x14ac:dyDescent="0.3">
      <c r="A108" s="314" t="s">
        <v>228</v>
      </c>
      <c r="B108" s="586" t="s">
        <v>555</v>
      </c>
      <c r="C108" s="587"/>
      <c r="D108" s="587"/>
      <c r="E108" s="130"/>
      <c r="F108" s="314" t="s">
        <v>85</v>
      </c>
      <c r="G108" s="314" t="s">
        <v>229</v>
      </c>
      <c r="H108" s="314" t="s">
        <v>123</v>
      </c>
      <c r="I108" s="113" t="s">
        <v>556</v>
      </c>
      <c r="J108" s="314">
        <v>2021</v>
      </c>
      <c r="K108" s="314" t="s">
        <v>79</v>
      </c>
      <c r="L108" s="314">
        <v>2022</v>
      </c>
      <c r="M108" s="314" t="s">
        <v>79</v>
      </c>
      <c r="N108" s="314">
        <v>2023</v>
      </c>
      <c r="O108" s="314" t="s">
        <v>79</v>
      </c>
      <c r="P108" s="314" t="s">
        <v>756</v>
      </c>
      <c r="Q108" s="314" t="s">
        <v>79</v>
      </c>
    </row>
    <row r="109" spans="1:17" ht="16.5" customHeight="1" thickBot="1" x14ac:dyDescent="0.3">
      <c r="A109" s="553" t="s">
        <v>554</v>
      </c>
      <c r="B109" s="616"/>
      <c r="C109" s="624"/>
      <c r="D109" s="624"/>
      <c r="E109" s="56" t="s">
        <v>187</v>
      </c>
      <c r="F109" s="48" t="s">
        <v>188</v>
      </c>
      <c r="G109" s="47">
        <v>9</v>
      </c>
      <c r="H109" s="72">
        <f>'TABLA GENERAL'!D246</f>
        <v>2856</v>
      </c>
      <c r="I109" s="114">
        <f>+G109*H109</f>
        <v>25704</v>
      </c>
      <c r="J109" s="47">
        <v>0</v>
      </c>
      <c r="K109" s="60">
        <f t="shared" ref="K109:K119" si="44">J109*H109</f>
        <v>0</v>
      </c>
      <c r="L109" s="47">
        <v>4</v>
      </c>
      <c r="M109" s="60">
        <f t="shared" ref="M109:M119" si="45">L109*H109</f>
        <v>11424</v>
      </c>
      <c r="N109" s="47">
        <v>0</v>
      </c>
      <c r="O109" s="60">
        <f t="shared" ref="O109:O119" si="46">N109*L109</f>
        <v>0</v>
      </c>
      <c r="P109" s="47">
        <f t="shared" ref="P109" si="47">+N109+L109+J109</f>
        <v>4</v>
      </c>
      <c r="Q109" s="60">
        <f t="shared" ref="Q109" si="48">+P109*H109</f>
        <v>11424</v>
      </c>
    </row>
    <row r="110" spans="1:17" ht="16.5" customHeight="1" thickBot="1" x14ac:dyDescent="0.3">
      <c r="A110" s="554"/>
      <c r="B110" s="616"/>
      <c r="C110" s="624"/>
      <c r="D110" s="624"/>
      <c r="E110" s="56" t="s">
        <v>557</v>
      </c>
      <c r="F110" s="32" t="s">
        <v>558</v>
      </c>
      <c r="G110" s="15">
        <v>9</v>
      </c>
      <c r="H110" s="72">
        <f>'TABLA GENERAL'!D247</f>
        <v>458.39</v>
      </c>
      <c r="I110" s="114">
        <f t="shared" ref="I110:I119" si="49">+G110*H110</f>
        <v>4125.51</v>
      </c>
      <c r="J110" s="47">
        <v>0</v>
      </c>
      <c r="K110" s="60">
        <f t="shared" si="44"/>
        <v>0</v>
      </c>
      <c r="L110" s="15">
        <v>4</v>
      </c>
      <c r="M110" s="60">
        <f t="shared" si="45"/>
        <v>1833.56</v>
      </c>
      <c r="N110" s="15">
        <v>0</v>
      </c>
      <c r="O110" s="60">
        <f t="shared" si="46"/>
        <v>0</v>
      </c>
      <c r="P110" s="47">
        <f t="shared" ref="P110:P119" si="50">+N110+L110+J110</f>
        <v>4</v>
      </c>
      <c r="Q110" s="60">
        <f t="shared" ref="Q110:Q119" si="51">+P110*H110</f>
        <v>1833.56</v>
      </c>
    </row>
    <row r="111" spans="1:17" ht="16.5" customHeight="1" thickBot="1" x14ac:dyDescent="0.3">
      <c r="A111" s="554"/>
      <c r="B111" s="616"/>
      <c r="C111" s="624"/>
      <c r="D111" s="624"/>
      <c r="E111" s="56" t="s">
        <v>559</v>
      </c>
      <c r="F111" s="32" t="s">
        <v>560</v>
      </c>
      <c r="G111" s="15">
        <v>9</v>
      </c>
      <c r="H111" s="72">
        <f>'TABLA GENERAL'!D248</f>
        <v>2562</v>
      </c>
      <c r="I111" s="114">
        <f t="shared" si="49"/>
        <v>23058</v>
      </c>
      <c r="J111" s="47">
        <v>0</v>
      </c>
      <c r="K111" s="60">
        <f t="shared" si="44"/>
        <v>0</v>
      </c>
      <c r="L111" s="15">
        <v>4</v>
      </c>
      <c r="M111" s="60">
        <f t="shared" si="45"/>
        <v>10248</v>
      </c>
      <c r="N111" s="15">
        <v>0</v>
      </c>
      <c r="O111" s="60">
        <f t="shared" si="46"/>
        <v>0</v>
      </c>
      <c r="P111" s="47">
        <f t="shared" si="50"/>
        <v>4</v>
      </c>
      <c r="Q111" s="60">
        <f t="shared" si="51"/>
        <v>10248</v>
      </c>
    </row>
    <row r="112" spans="1:17" ht="16.5" customHeight="1" thickBot="1" x14ac:dyDescent="0.3">
      <c r="A112" s="554"/>
      <c r="B112" s="616"/>
      <c r="C112" s="624"/>
      <c r="D112" s="624"/>
      <c r="E112" s="56" t="s">
        <v>190</v>
      </c>
      <c r="F112" s="32" t="s">
        <v>191</v>
      </c>
      <c r="G112" s="15">
        <v>5</v>
      </c>
      <c r="H112" s="72">
        <f>'TABLA GENERAL'!D249</f>
        <v>9040</v>
      </c>
      <c r="I112" s="114">
        <f t="shared" si="49"/>
        <v>45200</v>
      </c>
      <c r="J112" s="47">
        <v>0</v>
      </c>
      <c r="K112" s="60">
        <f t="shared" si="44"/>
        <v>0</v>
      </c>
      <c r="L112" s="15">
        <v>5</v>
      </c>
      <c r="M112" s="60">
        <f t="shared" si="45"/>
        <v>45200</v>
      </c>
      <c r="N112" s="15">
        <v>0</v>
      </c>
      <c r="O112" s="60">
        <f t="shared" si="46"/>
        <v>0</v>
      </c>
      <c r="P112" s="47">
        <f t="shared" si="50"/>
        <v>5</v>
      </c>
      <c r="Q112" s="60">
        <f t="shared" si="51"/>
        <v>45200</v>
      </c>
    </row>
    <row r="113" spans="1:17" ht="16.5" customHeight="1" thickBot="1" x14ac:dyDescent="0.3">
      <c r="A113" s="554"/>
      <c r="B113" s="616"/>
      <c r="C113" s="624"/>
      <c r="D113" s="624"/>
      <c r="E113" s="56" t="s">
        <v>561</v>
      </c>
      <c r="F113" s="32" t="s">
        <v>562</v>
      </c>
      <c r="G113" s="15">
        <v>9</v>
      </c>
      <c r="H113" s="72">
        <f>'TABLA GENERAL'!D250</f>
        <v>709</v>
      </c>
      <c r="I113" s="114">
        <f t="shared" si="49"/>
        <v>6381</v>
      </c>
      <c r="J113" s="47">
        <v>0</v>
      </c>
      <c r="K113" s="60">
        <f t="shared" si="44"/>
        <v>0</v>
      </c>
      <c r="L113" s="15">
        <v>4</v>
      </c>
      <c r="M113" s="60">
        <f t="shared" si="45"/>
        <v>2836</v>
      </c>
      <c r="N113" s="15">
        <v>0</v>
      </c>
      <c r="O113" s="60">
        <f t="shared" si="46"/>
        <v>0</v>
      </c>
      <c r="P113" s="47">
        <f t="shared" si="50"/>
        <v>4</v>
      </c>
      <c r="Q113" s="60">
        <f t="shared" si="51"/>
        <v>2836</v>
      </c>
    </row>
    <row r="114" spans="1:17" ht="30.75" thickBot="1" x14ac:dyDescent="0.3">
      <c r="A114" s="554"/>
      <c r="B114" s="616"/>
      <c r="C114" s="624"/>
      <c r="D114" s="624"/>
      <c r="E114" s="56" t="s">
        <v>563</v>
      </c>
      <c r="F114" s="32" t="s">
        <v>564</v>
      </c>
      <c r="G114" s="15">
        <v>9</v>
      </c>
      <c r="H114" s="72">
        <f>'TABLA GENERAL'!D251</f>
        <v>164</v>
      </c>
      <c r="I114" s="114">
        <f t="shared" si="49"/>
        <v>1476</v>
      </c>
      <c r="J114" s="47">
        <v>0</v>
      </c>
      <c r="K114" s="60">
        <f t="shared" si="44"/>
        <v>0</v>
      </c>
      <c r="L114" s="15">
        <v>4</v>
      </c>
      <c r="M114" s="60">
        <f t="shared" si="45"/>
        <v>656</v>
      </c>
      <c r="N114" s="15">
        <v>0</v>
      </c>
      <c r="O114" s="60">
        <f t="shared" si="46"/>
        <v>0</v>
      </c>
      <c r="P114" s="47">
        <f t="shared" si="50"/>
        <v>4</v>
      </c>
      <c r="Q114" s="60">
        <f t="shared" si="51"/>
        <v>656</v>
      </c>
    </row>
    <row r="115" spans="1:17" ht="16.5" customHeight="1" thickBot="1" x14ac:dyDescent="0.3">
      <c r="A115" s="554"/>
      <c r="B115" s="616"/>
      <c r="C115" s="624"/>
      <c r="D115" s="624"/>
      <c r="E115" s="56" t="s">
        <v>192</v>
      </c>
      <c r="F115" s="32" t="s">
        <v>193</v>
      </c>
      <c r="G115" s="15">
        <v>1</v>
      </c>
      <c r="H115" s="72">
        <f>'TABLA GENERAL'!D252</f>
        <v>12000</v>
      </c>
      <c r="I115" s="114">
        <f t="shared" si="49"/>
        <v>12000</v>
      </c>
      <c r="J115" s="47">
        <v>0</v>
      </c>
      <c r="K115" s="60">
        <f t="shared" si="44"/>
        <v>0</v>
      </c>
      <c r="L115" s="15">
        <v>1</v>
      </c>
      <c r="M115" s="60">
        <f t="shared" si="45"/>
        <v>12000</v>
      </c>
      <c r="N115" s="15">
        <v>0</v>
      </c>
      <c r="O115" s="60">
        <f t="shared" si="46"/>
        <v>0</v>
      </c>
      <c r="P115" s="47">
        <f t="shared" si="50"/>
        <v>1</v>
      </c>
      <c r="Q115" s="60">
        <f t="shared" si="51"/>
        <v>12000</v>
      </c>
    </row>
    <row r="116" spans="1:17" ht="16.5" customHeight="1" thickBot="1" x14ac:dyDescent="0.3">
      <c r="A116" s="554"/>
      <c r="B116" s="616"/>
      <c r="C116" s="624"/>
      <c r="D116" s="624"/>
      <c r="E116" s="56" t="s">
        <v>565</v>
      </c>
      <c r="F116" s="32" t="s">
        <v>566</v>
      </c>
      <c r="G116" s="15">
        <v>23</v>
      </c>
      <c r="H116" s="72">
        <f>'TABLA GENERAL'!D253</f>
        <v>70</v>
      </c>
      <c r="I116" s="114">
        <f t="shared" si="49"/>
        <v>1610</v>
      </c>
      <c r="J116" s="47">
        <v>0</v>
      </c>
      <c r="K116" s="60">
        <f t="shared" si="44"/>
        <v>0</v>
      </c>
      <c r="L116" s="15">
        <v>10</v>
      </c>
      <c r="M116" s="60">
        <f t="shared" si="45"/>
        <v>700</v>
      </c>
      <c r="N116" s="15">
        <v>0</v>
      </c>
      <c r="O116" s="60">
        <f t="shared" si="46"/>
        <v>0</v>
      </c>
      <c r="P116" s="47">
        <f t="shared" si="50"/>
        <v>10</v>
      </c>
      <c r="Q116" s="60">
        <f t="shared" si="51"/>
        <v>700</v>
      </c>
    </row>
    <row r="117" spans="1:17" ht="16.5" customHeight="1" thickBot="1" x14ac:dyDescent="0.3">
      <c r="A117" s="554"/>
      <c r="B117" s="616"/>
      <c r="C117" s="624"/>
      <c r="D117" s="624"/>
      <c r="E117" s="56" t="s">
        <v>567</v>
      </c>
      <c r="F117" s="32" t="s">
        <v>568</v>
      </c>
      <c r="G117" s="15">
        <v>7</v>
      </c>
      <c r="H117" s="72">
        <f>'TABLA GENERAL'!D254</f>
        <v>2900</v>
      </c>
      <c r="I117" s="114">
        <f t="shared" si="49"/>
        <v>20300</v>
      </c>
      <c r="J117" s="47">
        <v>0</v>
      </c>
      <c r="K117" s="60">
        <f t="shared" si="44"/>
        <v>0</v>
      </c>
      <c r="L117" s="15">
        <v>7</v>
      </c>
      <c r="M117" s="60">
        <f t="shared" si="45"/>
        <v>20300</v>
      </c>
      <c r="N117" s="15">
        <v>0</v>
      </c>
      <c r="O117" s="60">
        <f t="shared" si="46"/>
        <v>0</v>
      </c>
      <c r="P117" s="47">
        <f t="shared" si="50"/>
        <v>7</v>
      </c>
      <c r="Q117" s="60">
        <f t="shared" si="51"/>
        <v>20300</v>
      </c>
    </row>
    <row r="118" spans="1:17" ht="16.5" customHeight="1" thickBot="1" x14ac:dyDescent="0.3">
      <c r="A118" s="554"/>
      <c r="B118" s="616"/>
      <c r="C118" s="624"/>
      <c r="D118" s="624"/>
      <c r="E118" s="56" t="s">
        <v>194</v>
      </c>
      <c r="F118" s="32" t="s">
        <v>195</v>
      </c>
      <c r="G118" s="15">
        <v>10</v>
      </c>
      <c r="H118" s="72">
        <f>'TABLA GENERAL'!D255</f>
        <v>1300</v>
      </c>
      <c r="I118" s="114">
        <f t="shared" si="49"/>
        <v>13000</v>
      </c>
      <c r="J118" s="47">
        <v>4</v>
      </c>
      <c r="K118" s="60">
        <f t="shared" si="44"/>
        <v>5200</v>
      </c>
      <c r="L118" s="15">
        <v>0</v>
      </c>
      <c r="M118" s="60">
        <f t="shared" si="45"/>
        <v>0</v>
      </c>
      <c r="N118" s="15">
        <v>0</v>
      </c>
      <c r="O118" s="60">
        <f t="shared" si="46"/>
        <v>0</v>
      </c>
      <c r="P118" s="47">
        <f t="shared" si="50"/>
        <v>4</v>
      </c>
      <c r="Q118" s="60">
        <f t="shared" si="51"/>
        <v>5200</v>
      </c>
    </row>
    <row r="119" spans="1:17" ht="30.75" thickBot="1" x14ac:dyDescent="0.3">
      <c r="A119" s="561"/>
      <c r="B119" s="589"/>
      <c r="C119" s="590"/>
      <c r="D119" s="590"/>
      <c r="E119" s="56" t="s">
        <v>569</v>
      </c>
      <c r="F119" s="57" t="s">
        <v>570</v>
      </c>
      <c r="G119" s="51">
        <v>10</v>
      </c>
      <c r="H119" s="72">
        <f>'TABLA GENERAL'!D256</f>
        <v>212</v>
      </c>
      <c r="I119" s="114">
        <f t="shared" si="49"/>
        <v>2120</v>
      </c>
      <c r="J119" s="47">
        <v>4</v>
      </c>
      <c r="K119" s="60">
        <f t="shared" si="44"/>
        <v>848</v>
      </c>
      <c r="L119" s="51">
        <v>0</v>
      </c>
      <c r="M119" s="60">
        <f t="shared" si="45"/>
        <v>0</v>
      </c>
      <c r="N119" s="51">
        <v>0</v>
      </c>
      <c r="O119" s="60">
        <f t="shared" si="46"/>
        <v>0</v>
      </c>
      <c r="P119" s="47">
        <f t="shared" si="50"/>
        <v>4</v>
      </c>
      <c r="Q119" s="60">
        <f t="shared" si="51"/>
        <v>848</v>
      </c>
    </row>
    <row r="120" spans="1:17" ht="17.25" thickBot="1" x14ac:dyDescent="0.3">
      <c r="A120" s="112"/>
      <c r="B120" s="112"/>
      <c r="C120" s="112"/>
      <c r="D120" s="112"/>
      <c r="E120" s="112"/>
      <c r="F120" s="112" t="s">
        <v>571</v>
      </c>
      <c r="G120" s="112"/>
      <c r="H120" s="112"/>
      <c r="I120" s="118">
        <f>SUM(I109:I119)</f>
        <v>154974.51</v>
      </c>
      <c r="J120" s="112"/>
      <c r="K120" s="119">
        <f>SUM(K109:K119)</f>
        <v>6048</v>
      </c>
      <c r="L120" s="112"/>
      <c r="M120" s="119">
        <f>SUM(M109:M119)</f>
        <v>105197.56</v>
      </c>
      <c r="N120" s="112"/>
      <c r="O120" s="119">
        <f>SUM(O109:O119)</f>
        <v>0</v>
      </c>
      <c r="P120" s="112"/>
      <c r="Q120" s="119">
        <f>SUM(Q109:Q119)</f>
        <v>111245.56</v>
      </c>
    </row>
    <row r="121" spans="1:17" x14ac:dyDescent="0.25">
      <c r="Q121" s="317"/>
    </row>
    <row r="122" spans="1:17" ht="15.75" thickBot="1" x14ac:dyDescent="0.3">
      <c r="Q122" s="317"/>
    </row>
    <row r="123" spans="1:17" ht="47.25" customHeight="1" thickBot="1" x14ac:dyDescent="0.3">
      <c r="B123" s="195"/>
      <c r="C123" s="195"/>
      <c r="D123" s="195"/>
      <c r="E123" s="195"/>
      <c r="F123" s="617" t="s">
        <v>572</v>
      </c>
      <c r="G123" s="618"/>
      <c r="H123" s="618"/>
      <c r="I123" s="618"/>
      <c r="J123" s="618"/>
      <c r="K123" s="618"/>
      <c r="L123" s="618"/>
      <c r="M123" s="618"/>
      <c r="N123" s="618"/>
      <c r="O123" s="618"/>
      <c r="P123" s="618"/>
      <c r="Q123" s="619"/>
    </row>
    <row r="124" spans="1:17" ht="50.25" customHeight="1" thickBot="1" x14ac:dyDescent="0.3">
      <c r="A124" s="314" t="s">
        <v>228</v>
      </c>
      <c r="B124" s="597" t="s">
        <v>573</v>
      </c>
      <c r="C124" s="555"/>
      <c r="D124" s="555"/>
      <c r="E124" s="131"/>
      <c r="F124" s="314" t="s">
        <v>85</v>
      </c>
      <c r="G124" s="314" t="s">
        <v>229</v>
      </c>
      <c r="H124" s="314" t="s">
        <v>123</v>
      </c>
      <c r="I124" s="113" t="s">
        <v>230</v>
      </c>
      <c r="J124" s="314">
        <v>2021</v>
      </c>
      <c r="K124" s="314" t="s">
        <v>79</v>
      </c>
      <c r="L124" s="314">
        <v>2022</v>
      </c>
      <c r="M124" s="314" t="s">
        <v>79</v>
      </c>
      <c r="N124" s="314">
        <v>2023</v>
      </c>
      <c r="O124" s="314" t="s">
        <v>79</v>
      </c>
      <c r="P124" s="314" t="s">
        <v>756</v>
      </c>
      <c r="Q124" s="314" t="s">
        <v>79</v>
      </c>
    </row>
    <row r="125" spans="1:17" ht="30" customHeight="1" thickBot="1" x14ac:dyDescent="0.3">
      <c r="A125" s="562" t="s">
        <v>572</v>
      </c>
      <c r="B125" s="604"/>
      <c r="C125" s="605"/>
      <c r="D125" s="605"/>
      <c r="E125" s="56" t="s">
        <v>196</v>
      </c>
      <c r="F125" s="104" t="s">
        <v>197</v>
      </c>
      <c r="G125" s="47">
        <v>2</v>
      </c>
      <c r="H125" s="72">
        <f>'TABLA GENERAL'!D262</f>
        <v>68118</v>
      </c>
      <c r="I125" s="114">
        <f>+H125*G125</f>
        <v>136236</v>
      </c>
      <c r="J125" s="47">
        <v>0</v>
      </c>
      <c r="K125" s="60">
        <f t="shared" ref="K125:K127" si="52">J125*H125</f>
        <v>0</v>
      </c>
      <c r="L125" s="47">
        <v>0</v>
      </c>
      <c r="M125" s="60">
        <f t="shared" ref="M125:M127" si="53">L125*H125</f>
        <v>0</v>
      </c>
      <c r="N125" s="47">
        <v>2</v>
      </c>
      <c r="O125" s="60">
        <f t="shared" ref="O125:O127" si="54">N125*H125</f>
        <v>136236</v>
      </c>
      <c r="P125" s="47">
        <f t="shared" ref="P125" si="55">+N125+L125+J125</f>
        <v>2</v>
      </c>
      <c r="Q125" s="60">
        <f t="shared" ref="Q125" si="56">+P125*H125</f>
        <v>136236</v>
      </c>
    </row>
    <row r="126" spans="1:17" ht="16.5" customHeight="1" thickBot="1" x14ac:dyDescent="0.3">
      <c r="A126" s="563"/>
      <c r="B126" s="604"/>
      <c r="C126" s="605"/>
      <c r="D126" s="605"/>
      <c r="E126" s="56" t="s">
        <v>198</v>
      </c>
      <c r="F126" s="105" t="s">
        <v>199</v>
      </c>
      <c r="G126" s="15">
        <v>5</v>
      </c>
      <c r="H126" s="72">
        <f>'TABLA GENERAL'!D263</f>
        <v>24460</v>
      </c>
      <c r="I126" s="114">
        <f t="shared" ref="I126:I127" si="57">+H126*G126</f>
        <v>122300</v>
      </c>
      <c r="J126" s="15">
        <v>4</v>
      </c>
      <c r="K126" s="60">
        <f>J126*H126</f>
        <v>97840</v>
      </c>
      <c r="L126" s="15">
        <v>0</v>
      </c>
      <c r="M126" s="60">
        <f t="shared" si="53"/>
        <v>0</v>
      </c>
      <c r="N126" s="15">
        <v>0</v>
      </c>
      <c r="O126" s="60">
        <f t="shared" si="54"/>
        <v>0</v>
      </c>
      <c r="P126" s="47">
        <f t="shared" ref="P126:P127" si="58">+N126+L126+J126</f>
        <v>4</v>
      </c>
      <c r="Q126" s="60">
        <f t="shared" ref="Q126:Q127" si="59">+P126*H126</f>
        <v>97840</v>
      </c>
    </row>
    <row r="127" spans="1:17" ht="16.5" customHeight="1" thickBot="1" x14ac:dyDescent="0.3">
      <c r="A127" s="564"/>
      <c r="B127" s="607"/>
      <c r="C127" s="608"/>
      <c r="D127" s="608"/>
      <c r="E127" s="56" t="s">
        <v>200</v>
      </c>
      <c r="F127" s="106" t="s">
        <v>201</v>
      </c>
      <c r="G127" s="51">
        <v>2</v>
      </c>
      <c r="H127" s="72">
        <f>'TABLA GENERAL'!D264</f>
        <v>2493</v>
      </c>
      <c r="I127" s="114">
        <f t="shared" si="57"/>
        <v>4986</v>
      </c>
      <c r="J127" s="51">
        <v>1</v>
      </c>
      <c r="K127" s="60">
        <f t="shared" si="52"/>
        <v>2493</v>
      </c>
      <c r="L127" s="51">
        <v>0</v>
      </c>
      <c r="M127" s="60">
        <f t="shared" si="53"/>
        <v>0</v>
      </c>
      <c r="N127" s="51">
        <v>0</v>
      </c>
      <c r="O127" s="60">
        <f t="shared" si="54"/>
        <v>0</v>
      </c>
      <c r="P127" s="47">
        <f t="shared" si="58"/>
        <v>1</v>
      </c>
      <c r="Q127" s="60">
        <f t="shared" si="59"/>
        <v>2493</v>
      </c>
    </row>
    <row r="128" spans="1:17" ht="17.25" thickBot="1" x14ac:dyDescent="0.3">
      <c r="A128" s="112"/>
      <c r="B128" s="112"/>
      <c r="C128" s="112"/>
      <c r="D128" s="112"/>
      <c r="E128" s="112"/>
      <c r="F128" s="112" t="s">
        <v>574</v>
      </c>
      <c r="G128" s="112"/>
      <c r="H128" s="112"/>
      <c r="I128" s="118">
        <f>SUM(I125:I127)</f>
        <v>263522</v>
      </c>
      <c r="J128" s="112"/>
      <c r="K128" s="119">
        <f>SUM(K125:K127)</f>
        <v>100333</v>
      </c>
      <c r="L128" s="112"/>
      <c r="M128" s="119">
        <f>SUM(M125:M127)</f>
        <v>0</v>
      </c>
      <c r="N128" s="112"/>
      <c r="O128" s="119">
        <f>SUM(O125:O127)</f>
        <v>136236</v>
      </c>
      <c r="P128" s="112"/>
      <c r="Q128" s="119">
        <f>SUM(Q125:Q127)</f>
        <v>236569</v>
      </c>
    </row>
    <row r="129" spans="1:17" x14ac:dyDescent="0.25">
      <c r="Q129" s="317"/>
    </row>
    <row r="130" spans="1:17" ht="15.75" thickBot="1" x14ac:dyDescent="0.3">
      <c r="Q130" s="317"/>
    </row>
    <row r="131" spans="1:17" ht="47.25" customHeight="1" thickBot="1" x14ac:dyDescent="0.3">
      <c r="B131" s="620"/>
      <c r="C131" s="620"/>
      <c r="D131" s="620"/>
      <c r="E131" s="621"/>
      <c r="F131" s="617" t="s">
        <v>586</v>
      </c>
      <c r="G131" s="618"/>
      <c r="H131" s="618"/>
      <c r="I131" s="618"/>
      <c r="J131" s="618"/>
      <c r="K131" s="618"/>
      <c r="L131" s="618"/>
      <c r="M131" s="618"/>
      <c r="N131" s="618"/>
      <c r="O131" s="618"/>
      <c r="P131" s="618"/>
      <c r="Q131" s="619"/>
    </row>
    <row r="132" spans="1:17" ht="33.75" thickBot="1" x14ac:dyDescent="0.3">
      <c r="A132" s="314" t="s">
        <v>228</v>
      </c>
      <c r="B132" s="597" t="s">
        <v>587</v>
      </c>
      <c r="C132" s="555"/>
      <c r="D132" s="598"/>
      <c r="E132" s="314"/>
      <c r="F132" s="314" t="s">
        <v>85</v>
      </c>
      <c r="G132" s="314" t="s">
        <v>229</v>
      </c>
      <c r="H132" s="314" t="s">
        <v>123</v>
      </c>
      <c r="I132" s="113" t="s">
        <v>230</v>
      </c>
      <c r="J132" s="314">
        <v>2021</v>
      </c>
      <c r="K132" s="314" t="s">
        <v>79</v>
      </c>
      <c r="L132" s="314">
        <v>2022</v>
      </c>
      <c r="M132" s="314" t="s">
        <v>79</v>
      </c>
      <c r="N132" s="314">
        <v>2023</v>
      </c>
      <c r="O132" s="314" t="s">
        <v>79</v>
      </c>
      <c r="P132" s="314" t="s">
        <v>756</v>
      </c>
      <c r="Q132" s="314" t="s">
        <v>79</v>
      </c>
    </row>
    <row r="133" spans="1:17" ht="15.75" thickBot="1" x14ac:dyDescent="0.3">
      <c r="A133" s="566"/>
      <c r="B133" s="604"/>
      <c r="C133" s="605"/>
      <c r="D133" s="606"/>
      <c r="E133" s="56" t="s">
        <v>215</v>
      </c>
      <c r="F133" s="32" t="s">
        <v>216</v>
      </c>
      <c r="G133" s="15">
        <v>1</v>
      </c>
      <c r="H133" s="72">
        <f>'TABLA GENERAL'!D289</f>
        <v>3058</v>
      </c>
      <c r="I133" s="114">
        <f t="shared" ref="I133:I135" si="60">H133*G133</f>
        <v>3058</v>
      </c>
      <c r="J133" s="15">
        <v>1</v>
      </c>
      <c r="K133" s="60">
        <f t="shared" ref="K133:K135" si="61">J133*H133</f>
        <v>3058</v>
      </c>
      <c r="L133" s="47">
        <v>0</v>
      </c>
      <c r="M133" s="60">
        <f t="shared" ref="M133:M135" si="62">L133*H133</f>
        <v>0</v>
      </c>
      <c r="N133" s="47">
        <v>0</v>
      </c>
      <c r="O133" s="60">
        <f t="shared" ref="O133:O135" si="63">N133*J133</f>
        <v>0</v>
      </c>
      <c r="P133" s="47">
        <f t="shared" ref="P133:P135" si="64">+N133+L133+J133</f>
        <v>1</v>
      </c>
      <c r="Q133" s="60">
        <f t="shared" ref="Q133:Q135" si="65">+P133*H133</f>
        <v>3058</v>
      </c>
    </row>
    <row r="134" spans="1:17" ht="15.75" thickBot="1" x14ac:dyDescent="0.3">
      <c r="A134" s="566"/>
      <c r="B134" s="604"/>
      <c r="C134" s="605"/>
      <c r="D134" s="606"/>
      <c r="E134" s="56" t="s">
        <v>217</v>
      </c>
      <c r="F134" s="32" t="s">
        <v>218</v>
      </c>
      <c r="G134" s="15">
        <v>4</v>
      </c>
      <c r="H134" s="72">
        <f>'TABLA GENERAL'!D290</f>
        <v>2880</v>
      </c>
      <c r="I134" s="114">
        <f t="shared" si="60"/>
        <v>11520</v>
      </c>
      <c r="J134" s="15">
        <v>4</v>
      </c>
      <c r="K134" s="60">
        <f t="shared" si="61"/>
        <v>11520</v>
      </c>
      <c r="L134" s="47">
        <v>0</v>
      </c>
      <c r="M134" s="60">
        <f t="shared" si="62"/>
        <v>0</v>
      </c>
      <c r="N134" s="47">
        <v>0</v>
      </c>
      <c r="O134" s="60">
        <f t="shared" si="63"/>
        <v>0</v>
      </c>
      <c r="P134" s="47">
        <f t="shared" si="64"/>
        <v>4</v>
      </c>
      <c r="Q134" s="60">
        <f t="shared" si="65"/>
        <v>11520</v>
      </c>
    </row>
    <row r="135" spans="1:17" ht="15.75" thickBot="1" x14ac:dyDescent="0.3">
      <c r="A135" s="567"/>
      <c r="B135" s="607"/>
      <c r="C135" s="608"/>
      <c r="D135" s="609"/>
      <c r="E135" s="56" t="s">
        <v>221</v>
      </c>
      <c r="F135" s="57" t="s">
        <v>222</v>
      </c>
      <c r="G135" s="51">
        <v>1</v>
      </c>
      <c r="H135" s="72">
        <f>'TABLA GENERAL'!D292</f>
        <v>43500</v>
      </c>
      <c r="I135" s="114">
        <f t="shared" si="60"/>
        <v>43500</v>
      </c>
      <c r="J135" s="51">
        <v>1</v>
      </c>
      <c r="K135" s="60">
        <f t="shared" si="61"/>
        <v>43500</v>
      </c>
      <c r="L135" s="47">
        <v>0</v>
      </c>
      <c r="M135" s="60">
        <f t="shared" si="62"/>
        <v>0</v>
      </c>
      <c r="N135" s="47">
        <v>0</v>
      </c>
      <c r="O135" s="60">
        <f t="shared" si="63"/>
        <v>0</v>
      </c>
      <c r="P135" s="47">
        <f t="shared" si="64"/>
        <v>1</v>
      </c>
      <c r="Q135" s="60">
        <f t="shared" si="65"/>
        <v>43500</v>
      </c>
    </row>
    <row r="136" spans="1:17" ht="17.25" thickBot="1" x14ac:dyDescent="0.3">
      <c r="A136" s="112"/>
      <c r="B136" s="112"/>
      <c r="C136" s="112"/>
      <c r="D136" s="112"/>
      <c r="E136" s="112"/>
      <c r="F136" s="112" t="s">
        <v>588</v>
      </c>
      <c r="G136" s="112"/>
      <c r="H136" s="112"/>
      <c r="I136" s="118">
        <f>SUM(I133:I135)</f>
        <v>58078</v>
      </c>
      <c r="J136" s="112"/>
      <c r="K136" s="119">
        <f>SUM(K133:K135)</f>
        <v>58078</v>
      </c>
      <c r="L136" s="112"/>
      <c r="M136" s="119">
        <f>SUM(M133:M135)</f>
        <v>0</v>
      </c>
      <c r="N136" s="112"/>
      <c r="O136" s="119">
        <f>SUM(O133:O135)</f>
        <v>0</v>
      </c>
      <c r="P136" s="112"/>
      <c r="Q136" s="119">
        <f>SUM(Q133:Q135)</f>
        <v>58078</v>
      </c>
    </row>
    <row r="137" spans="1:17" x14ac:dyDescent="0.25">
      <c r="Q137" s="317"/>
    </row>
    <row r="138" spans="1:17" ht="15.75" thickBot="1" x14ac:dyDescent="0.3">
      <c r="Q138" s="317"/>
    </row>
    <row r="139" spans="1:17" ht="19.5" customHeight="1" thickBot="1" x14ac:dyDescent="0.35">
      <c r="A139" s="132"/>
      <c r="B139" s="132"/>
      <c r="C139" s="132"/>
      <c r="D139" s="132"/>
      <c r="E139" s="132"/>
      <c r="F139" s="592"/>
      <c r="G139" s="593"/>
      <c r="H139" s="593"/>
      <c r="I139" s="594"/>
      <c r="J139" s="586" t="s">
        <v>225</v>
      </c>
      <c r="K139" s="587"/>
      <c r="L139" s="587"/>
      <c r="M139" s="587"/>
      <c r="N139" s="587"/>
      <c r="O139" s="587"/>
      <c r="P139" s="587"/>
      <c r="Q139" s="588"/>
    </row>
    <row r="140" spans="1:17" ht="60" customHeight="1" thickBot="1" x14ac:dyDescent="0.3">
      <c r="A140" s="586" t="s">
        <v>589</v>
      </c>
      <c r="B140" s="587"/>
      <c r="C140" s="587"/>
      <c r="D140" s="587"/>
      <c r="E140" s="587"/>
      <c r="F140" s="588"/>
      <c r="G140" s="586" t="s">
        <v>230</v>
      </c>
      <c r="H140" s="587"/>
      <c r="I140" s="588"/>
      <c r="J140" s="595">
        <v>2021</v>
      </c>
      <c r="K140" s="596"/>
      <c r="L140" s="595">
        <v>2022</v>
      </c>
      <c r="M140" s="596"/>
      <c r="N140" s="595">
        <v>2023</v>
      </c>
      <c r="O140" s="596"/>
      <c r="P140" s="698">
        <f>+Q136+Q128+Q120+Q105+Q91+Q77+Q65+Q39</f>
        <v>7656240.6899999995</v>
      </c>
      <c r="Q140" s="588"/>
    </row>
    <row r="141" spans="1:17" ht="33" customHeight="1" thickBot="1" x14ac:dyDescent="0.3">
      <c r="A141" s="589"/>
      <c r="B141" s="590"/>
      <c r="C141" s="590"/>
      <c r="D141" s="590"/>
      <c r="E141" s="590"/>
      <c r="F141" s="591"/>
      <c r="G141" s="589"/>
      <c r="H141" s="590"/>
      <c r="I141" s="591"/>
      <c r="J141" s="599">
        <v>2550000</v>
      </c>
      <c r="K141" s="601"/>
      <c r="L141" s="599">
        <v>2500000</v>
      </c>
      <c r="M141" s="601"/>
      <c r="N141" s="599">
        <v>2500000</v>
      </c>
      <c r="O141" s="601"/>
      <c r="P141" s="589"/>
      <c r="Q141" s="591"/>
    </row>
    <row r="142" spans="1:17" x14ac:dyDescent="0.25">
      <c r="I142"/>
      <c r="K142" s="14" t="e">
        <f>K136+#REF!+#REF!+#REF!+K128+K120+#REF!+K105+K91+K77+K65+K39</f>
        <v>#REF!</v>
      </c>
      <c r="M142" s="14" t="e">
        <f>M136+#REF!+#REF!+#REF!+M128+M120+#REF!+M105+M91+M77+M65+M39</f>
        <v>#REF!</v>
      </c>
      <c r="O142" s="14" t="e">
        <f>O136+#REF!+#REF!+#REF!+O128+O120+#REF!+O105+O91+O77+O65+O39</f>
        <v>#REF!</v>
      </c>
      <c r="Q142" s="317"/>
    </row>
    <row r="143" spans="1:17" x14ac:dyDescent="0.25">
      <c r="I143"/>
      <c r="K143" s="14" t="e">
        <f>J141-K142</f>
        <v>#REF!</v>
      </c>
      <c r="M143" s="14" t="e">
        <f>L141-M142</f>
        <v>#REF!</v>
      </c>
      <c r="O143" s="14" t="e">
        <f>N141-O142</f>
        <v>#REF!</v>
      </c>
      <c r="Q143" s="317"/>
    </row>
    <row r="145" spans="9:9" x14ac:dyDescent="0.25">
      <c r="I145"/>
    </row>
  </sheetData>
  <mergeCells count="57">
    <mergeCell ref="F107:Q107"/>
    <mergeCell ref="F123:Q123"/>
    <mergeCell ref="F139:I139"/>
    <mergeCell ref="B124:D127"/>
    <mergeCell ref="C34:D38"/>
    <mergeCell ref="C44:D48"/>
    <mergeCell ref="B43:B64"/>
    <mergeCell ref="B69:E69"/>
    <mergeCell ref="B81:E81"/>
    <mergeCell ref="B1:Q1"/>
    <mergeCell ref="F42:Q42"/>
    <mergeCell ref="F68:Q68"/>
    <mergeCell ref="F80:Q80"/>
    <mergeCell ref="F93:Q93"/>
    <mergeCell ref="J2:O2"/>
    <mergeCell ref="J3:Q3"/>
    <mergeCell ref="A140:F141"/>
    <mergeCell ref="J140:K140"/>
    <mergeCell ref="L140:M140"/>
    <mergeCell ref="N140:O140"/>
    <mergeCell ref="B131:E131"/>
    <mergeCell ref="B132:D135"/>
    <mergeCell ref="A133:A135"/>
    <mergeCell ref="F131:Q131"/>
    <mergeCell ref="J141:K141"/>
    <mergeCell ref="L141:M141"/>
    <mergeCell ref="N141:O141"/>
    <mergeCell ref="G140:I141"/>
    <mergeCell ref="P140:Q141"/>
    <mergeCell ref="J139:Q139"/>
    <mergeCell ref="A125:A127"/>
    <mergeCell ref="B108:D119"/>
    <mergeCell ref="A109:A119"/>
    <mergeCell ref="B94:D103"/>
    <mergeCell ref="A95:A104"/>
    <mergeCell ref="A82:A90"/>
    <mergeCell ref="B82:B90"/>
    <mergeCell ref="C82:D86"/>
    <mergeCell ref="C87:D89"/>
    <mergeCell ref="C90:D90"/>
    <mergeCell ref="A70:A76"/>
    <mergeCell ref="B70:B76"/>
    <mergeCell ref="C70:D75"/>
    <mergeCell ref="C76:D76"/>
    <mergeCell ref="C49:C64"/>
    <mergeCell ref="D49:D60"/>
    <mergeCell ref="D61:D64"/>
    <mergeCell ref="A5:A38"/>
    <mergeCell ref="B5:B39"/>
    <mergeCell ref="C5:C22"/>
    <mergeCell ref="D5:D15"/>
    <mergeCell ref="D16:D22"/>
    <mergeCell ref="C23:C33"/>
    <mergeCell ref="D23:D26"/>
    <mergeCell ref="D27:D28"/>
    <mergeCell ref="D29:D30"/>
    <mergeCell ref="D31:D33"/>
  </mergeCells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opLeftCell="B37" workbookViewId="0">
      <selection activeCell="E31" sqref="E31:K38"/>
    </sheetView>
  </sheetViews>
  <sheetFormatPr baseColWidth="10" defaultRowHeight="15" x14ac:dyDescent="0.25"/>
  <cols>
    <col min="1" max="1" width="15.7109375" hidden="1" customWidth="1"/>
    <col min="2" max="2" width="8.28515625" customWidth="1"/>
    <col min="3" max="3" width="19" customWidth="1"/>
    <col min="4" max="4" width="30" customWidth="1"/>
    <col min="5" max="5" width="7.7109375" customWidth="1"/>
    <col min="6" max="6" width="51.5703125" customWidth="1"/>
    <col min="7" max="7" width="18.7109375" hidden="1" customWidth="1"/>
    <col min="8" max="8" width="16.7109375" customWidth="1"/>
    <col min="9" max="9" width="18.28515625" style="111" hidden="1" customWidth="1"/>
    <col min="10" max="10" width="9.28515625" customWidth="1"/>
    <col min="11" max="11" width="18.28515625" customWidth="1"/>
    <col min="12" max="12" width="12" bestFit="1" customWidth="1"/>
  </cols>
  <sheetData>
    <row r="1" spans="1:11" ht="25.15" x14ac:dyDescent="0.3">
      <c r="B1" s="660" t="s">
        <v>224</v>
      </c>
      <c r="C1" s="660"/>
      <c r="D1" s="660"/>
      <c r="E1" s="660"/>
      <c r="F1" s="660"/>
      <c r="G1" s="660"/>
      <c r="H1" s="660"/>
      <c r="I1" s="660"/>
      <c r="J1" s="660"/>
      <c r="K1" s="660"/>
    </row>
    <row r="2" spans="1:11" thickBot="1" x14ac:dyDescent="0.35">
      <c r="J2" s="661" t="s">
        <v>225</v>
      </c>
      <c r="K2" s="661"/>
    </row>
    <row r="3" spans="1:11" thickBot="1" x14ac:dyDescent="0.35">
      <c r="B3" s="195"/>
      <c r="C3" s="195"/>
      <c r="D3" s="195"/>
      <c r="E3" s="195"/>
      <c r="F3" s="195"/>
      <c r="G3" s="195"/>
      <c r="H3" s="195"/>
      <c r="I3" s="282"/>
      <c r="J3" s="663" t="s">
        <v>225</v>
      </c>
      <c r="K3" s="664"/>
    </row>
    <row r="4" spans="1:11" ht="28.15" thickBot="1" x14ac:dyDescent="0.35">
      <c r="A4" s="314" t="s">
        <v>228</v>
      </c>
      <c r="B4" s="314"/>
      <c r="C4" s="112"/>
      <c r="D4" s="314"/>
      <c r="E4" s="314"/>
      <c r="F4" s="314" t="s">
        <v>85</v>
      </c>
      <c r="G4" s="314" t="s">
        <v>229</v>
      </c>
      <c r="H4" s="314" t="s">
        <v>123</v>
      </c>
      <c r="I4" s="113" t="s">
        <v>230</v>
      </c>
      <c r="J4" s="314">
        <v>2021</v>
      </c>
      <c r="K4" s="314" t="s">
        <v>79</v>
      </c>
    </row>
    <row r="5" spans="1:11" ht="15.75" thickBot="1" x14ac:dyDescent="0.3">
      <c r="A5" s="551"/>
      <c r="B5" s="551" t="s">
        <v>224</v>
      </c>
      <c r="C5" s="551" t="s">
        <v>232</v>
      </c>
      <c r="D5" s="551" t="s">
        <v>233</v>
      </c>
      <c r="E5" s="47" t="s">
        <v>246</v>
      </c>
      <c r="F5" s="32" t="s">
        <v>247</v>
      </c>
      <c r="G5" s="15">
        <v>16</v>
      </c>
      <c r="H5" s="59">
        <f>'TABLA GENERAL'!D9</f>
        <v>141</v>
      </c>
      <c r="I5" s="115">
        <v>2256</v>
      </c>
      <c r="J5" s="15">
        <v>10</v>
      </c>
      <c r="K5" s="60">
        <f t="shared" ref="K5:K27" si="0">J5*H5</f>
        <v>1410</v>
      </c>
    </row>
    <row r="6" spans="1:11" ht="15.75" thickBot="1" x14ac:dyDescent="0.3">
      <c r="A6" s="551"/>
      <c r="B6" s="551"/>
      <c r="C6" s="551"/>
      <c r="D6" s="551"/>
      <c r="E6" s="47" t="s">
        <v>248</v>
      </c>
      <c r="F6" s="32" t="s">
        <v>249</v>
      </c>
      <c r="G6" s="15">
        <v>16</v>
      </c>
      <c r="H6" s="59">
        <f>'TABLA GENERAL'!D10</f>
        <v>6243</v>
      </c>
      <c r="I6" s="115">
        <v>99888</v>
      </c>
      <c r="J6" s="15">
        <v>10</v>
      </c>
      <c r="K6" s="60">
        <f t="shared" si="0"/>
        <v>62430</v>
      </c>
    </row>
    <row r="7" spans="1:11" ht="15.75" thickBot="1" x14ac:dyDescent="0.3">
      <c r="A7" s="551"/>
      <c r="B7" s="551"/>
      <c r="C7" s="551"/>
      <c r="D7" s="551"/>
      <c r="E7" s="47" t="s">
        <v>250</v>
      </c>
      <c r="F7" s="32" t="s">
        <v>251</v>
      </c>
      <c r="G7" s="15">
        <v>10</v>
      </c>
      <c r="H7" s="59">
        <f>'TABLA GENERAL'!D11</f>
        <v>6877</v>
      </c>
      <c r="I7" s="115">
        <v>68770</v>
      </c>
      <c r="J7" s="15">
        <v>10</v>
      </c>
      <c r="K7" s="60">
        <f t="shared" si="0"/>
        <v>68770</v>
      </c>
    </row>
    <row r="8" spans="1:11" ht="15.75" thickBot="1" x14ac:dyDescent="0.3">
      <c r="A8" s="551"/>
      <c r="B8" s="551"/>
      <c r="C8" s="551"/>
      <c r="D8" s="551"/>
      <c r="E8" s="47" t="s">
        <v>252</v>
      </c>
      <c r="F8" s="32" t="s">
        <v>253</v>
      </c>
      <c r="G8" s="15">
        <v>2</v>
      </c>
      <c r="H8" s="59">
        <f>'TABLA GENERAL'!D16</f>
        <v>27035</v>
      </c>
      <c r="I8" s="115">
        <v>54070</v>
      </c>
      <c r="J8" s="15">
        <v>1</v>
      </c>
      <c r="K8" s="60">
        <f t="shared" si="0"/>
        <v>27035</v>
      </c>
    </row>
    <row r="9" spans="1:11" ht="15.75" thickBot="1" x14ac:dyDescent="0.3">
      <c r="A9" s="551"/>
      <c r="B9" s="551"/>
      <c r="C9" s="551"/>
      <c r="D9" s="552"/>
      <c r="E9" s="47" t="s">
        <v>254</v>
      </c>
      <c r="F9" s="32" t="s">
        <v>255</v>
      </c>
      <c r="G9" s="15">
        <v>4</v>
      </c>
      <c r="H9" s="59">
        <f>'TABLA GENERAL'!D17</f>
        <v>421</v>
      </c>
      <c r="I9" s="115">
        <v>1684</v>
      </c>
      <c r="J9" s="15">
        <v>1</v>
      </c>
      <c r="K9" s="60">
        <f t="shared" si="0"/>
        <v>421</v>
      </c>
    </row>
    <row r="10" spans="1:11" ht="15.75" thickBot="1" x14ac:dyDescent="0.3">
      <c r="A10" s="551"/>
      <c r="B10" s="551"/>
      <c r="C10" s="551"/>
      <c r="D10" s="551" t="s">
        <v>256</v>
      </c>
      <c r="E10" s="47" t="s">
        <v>259</v>
      </c>
      <c r="F10" s="32" t="s">
        <v>260</v>
      </c>
      <c r="G10" s="15">
        <v>14</v>
      </c>
      <c r="H10" s="59">
        <f>'TABLA GENERAL'!D20</f>
        <v>1655</v>
      </c>
      <c r="I10" s="115">
        <v>23170</v>
      </c>
      <c r="J10" s="15">
        <v>14</v>
      </c>
      <c r="K10" s="60">
        <f t="shared" si="0"/>
        <v>23170</v>
      </c>
    </row>
    <row r="11" spans="1:11" ht="15.75" thickBot="1" x14ac:dyDescent="0.3">
      <c r="A11" s="551"/>
      <c r="B11" s="551"/>
      <c r="C11" s="551"/>
      <c r="D11" s="551"/>
      <c r="E11" s="47" t="s">
        <v>261</v>
      </c>
      <c r="F11" s="32" t="s">
        <v>262</v>
      </c>
      <c r="G11" s="15">
        <v>2</v>
      </c>
      <c r="H11" s="59">
        <f>'TABLA GENERAL'!D21</f>
        <v>11477</v>
      </c>
      <c r="I11" s="115">
        <v>22954</v>
      </c>
      <c r="J11" s="15">
        <v>1</v>
      </c>
      <c r="K11" s="60">
        <f t="shared" si="0"/>
        <v>11477</v>
      </c>
    </row>
    <row r="12" spans="1:11" ht="15.75" thickBot="1" x14ac:dyDescent="0.3">
      <c r="A12" s="551"/>
      <c r="B12" s="551"/>
      <c r="C12" s="551"/>
      <c r="D12" s="551"/>
      <c r="E12" s="47" t="s">
        <v>265</v>
      </c>
      <c r="F12" s="32" t="s">
        <v>266</v>
      </c>
      <c r="G12" s="15">
        <v>36</v>
      </c>
      <c r="H12" s="59">
        <f>'TABLA GENERAL'!D23</f>
        <v>107</v>
      </c>
      <c r="I12" s="115">
        <v>3852</v>
      </c>
      <c r="J12" s="15">
        <v>10</v>
      </c>
      <c r="K12" s="60">
        <f t="shared" si="0"/>
        <v>1070</v>
      </c>
    </row>
    <row r="13" spans="1:11" ht="15.75" thickBot="1" x14ac:dyDescent="0.3">
      <c r="A13" s="551"/>
      <c r="B13" s="551"/>
      <c r="C13" s="551"/>
      <c r="D13" s="551"/>
      <c r="E13" s="47" t="s">
        <v>267</v>
      </c>
      <c r="F13" s="32" t="s">
        <v>268</v>
      </c>
      <c r="G13" s="15">
        <v>13</v>
      </c>
      <c r="H13" s="59">
        <f>'TABLA GENERAL'!D24</f>
        <v>1484</v>
      </c>
      <c r="I13" s="115">
        <v>19292</v>
      </c>
      <c r="J13" s="15">
        <v>10</v>
      </c>
      <c r="K13" s="60">
        <f t="shared" si="0"/>
        <v>14840</v>
      </c>
    </row>
    <row r="14" spans="1:11" ht="15.75" thickBot="1" x14ac:dyDescent="0.3">
      <c r="A14" s="551"/>
      <c r="B14" s="551"/>
      <c r="C14" s="552"/>
      <c r="D14" s="552"/>
      <c r="E14" s="47" t="s">
        <v>267</v>
      </c>
      <c r="F14" s="32" t="s">
        <v>269</v>
      </c>
      <c r="G14" s="15">
        <v>2</v>
      </c>
      <c r="H14" s="59">
        <f>'TABLA GENERAL'!D25</f>
        <v>312143</v>
      </c>
      <c r="I14" s="115">
        <v>624286</v>
      </c>
      <c r="J14" s="15">
        <v>1</v>
      </c>
      <c r="K14" s="60">
        <f t="shared" si="0"/>
        <v>312143</v>
      </c>
    </row>
    <row r="15" spans="1:11" ht="30.75" thickBot="1" x14ac:dyDescent="0.3">
      <c r="A15" s="551"/>
      <c r="B15" s="551"/>
      <c r="C15" s="550" t="s">
        <v>270</v>
      </c>
      <c r="D15" s="652" t="s">
        <v>271</v>
      </c>
      <c r="E15" s="47" t="s">
        <v>272</v>
      </c>
      <c r="F15" s="32" t="s">
        <v>273</v>
      </c>
      <c r="G15" s="15">
        <v>1</v>
      </c>
      <c r="H15" s="59">
        <f>'TABLA GENERAL'!D27</f>
        <v>68138</v>
      </c>
      <c r="I15" s="115">
        <v>68138</v>
      </c>
      <c r="J15" s="15">
        <v>1</v>
      </c>
      <c r="K15" s="60">
        <f t="shared" si="0"/>
        <v>68138</v>
      </c>
    </row>
    <row r="16" spans="1:11" ht="15.75" thickBot="1" x14ac:dyDescent="0.3">
      <c r="A16" s="551"/>
      <c r="B16" s="551"/>
      <c r="C16" s="551"/>
      <c r="D16" s="653"/>
      <c r="E16" s="47" t="s">
        <v>274</v>
      </c>
      <c r="F16" s="257" t="s">
        <v>275</v>
      </c>
      <c r="G16" s="15">
        <v>11</v>
      </c>
      <c r="H16" s="59">
        <f>'TABLA GENERAL'!D28</f>
        <v>47779</v>
      </c>
      <c r="I16" s="115">
        <v>525569</v>
      </c>
      <c r="J16" s="15">
        <v>2</v>
      </c>
      <c r="K16" s="60">
        <f t="shared" si="0"/>
        <v>95558</v>
      </c>
    </row>
    <row r="17" spans="1:12" ht="15.75" thickBot="1" x14ac:dyDescent="0.3">
      <c r="A17" s="551"/>
      <c r="B17" s="551"/>
      <c r="C17" s="551"/>
      <c r="D17" s="653"/>
      <c r="E17" s="47" t="s">
        <v>276</v>
      </c>
      <c r="F17" s="32" t="s">
        <v>277</v>
      </c>
      <c r="G17" s="15">
        <v>4</v>
      </c>
      <c r="H17" s="59">
        <f>'TABLA GENERAL'!D29</f>
        <v>40845</v>
      </c>
      <c r="I17" s="115">
        <v>163380</v>
      </c>
      <c r="J17" s="15">
        <v>0</v>
      </c>
      <c r="K17" s="60">
        <f t="shared" si="0"/>
        <v>0</v>
      </c>
    </row>
    <row r="18" spans="1:12" ht="30.75" thickBot="1" x14ac:dyDescent="0.3">
      <c r="A18" s="551"/>
      <c r="B18" s="551"/>
      <c r="C18" s="551"/>
      <c r="D18" s="654"/>
      <c r="E18" s="47" t="s">
        <v>278</v>
      </c>
      <c r="F18" s="32" t="s">
        <v>279</v>
      </c>
      <c r="G18" s="15">
        <v>152</v>
      </c>
      <c r="H18" s="59">
        <f>'TABLA GENERAL'!D30</f>
        <v>16636</v>
      </c>
      <c r="I18" s="115">
        <v>2528672</v>
      </c>
      <c r="J18" s="15">
        <v>13</v>
      </c>
      <c r="K18" s="60">
        <f t="shared" si="0"/>
        <v>216268</v>
      </c>
    </row>
    <row r="19" spans="1:12" ht="15.75" thickBot="1" x14ac:dyDescent="0.3">
      <c r="A19" s="551"/>
      <c r="B19" s="551"/>
      <c r="C19" s="551"/>
      <c r="D19" s="655" t="s">
        <v>280</v>
      </c>
      <c r="E19" s="47" t="s">
        <v>281</v>
      </c>
      <c r="F19" s="32" t="s">
        <v>282</v>
      </c>
      <c r="G19" s="15">
        <v>10</v>
      </c>
      <c r="H19" s="59">
        <f>'TABLA GENERAL'!D32</f>
        <v>5231</v>
      </c>
      <c r="I19" s="115">
        <v>52310</v>
      </c>
      <c r="J19" s="15">
        <v>10</v>
      </c>
      <c r="K19" s="60">
        <f t="shared" si="0"/>
        <v>52310</v>
      </c>
    </row>
    <row r="20" spans="1:12" ht="15.75" thickBot="1" x14ac:dyDescent="0.3">
      <c r="A20" s="551"/>
      <c r="B20" s="551"/>
      <c r="C20" s="551"/>
      <c r="D20" s="656"/>
      <c r="E20" s="47" t="s">
        <v>283</v>
      </c>
      <c r="F20" s="32" t="s">
        <v>284</v>
      </c>
      <c r="G20" s="15">
        <v>13</v>
      </c>
      <c r="H20" s="59">
        <f>'TABLA GENERAL'!D33</f>
        <v>3641</v>
      </c>
      <c r="I20" s="115">
        <v>47333</v>
      </c>
      <c r="J20" s="15">
        <v>3</v>
      </c>
      <c r="K20" s="60">
        <f t="shared" si="0"/>
        <v>10923</v>
      </c>
    </row>
    <row r="21" spans="1:12" ht="15.75" thickBot="1" x14ac:dyDescent="0.3">
      <c r="A21" s="551"/>
      <c r="B21" s="551"/>
      <c r="C21" s="551"/>
      <c r="D21" s="657" t="s">
        <v>285</v>
      </c>
      <c r="E21" s="47" t="s">
        <v>286</v>
      </c>
      <c r="F21" s="32" t="s">
        <v>287</v>
      </c>
      <c r="G21" s="15">
        <v>2</v>
      </c>
      <c r="H21" s="59">
        <v>123893</v>
      </c>
      <c r="I21" s="115">
        <v>247786</v>
      </c>
      <c r="J21" s="15">
        <v>1</v>
      </c>
      <c r="K21" s="60">
        <f t="shared" si="0"/>
        <v>123893</v>
      </c>
    </row>
    <row r="22" spans="1:12" ht="15.75" thickBot="1" x14ac:dyDescent="0.3">
      <c r="A22" s="551"/>
      <c r="B22" s="551"/>
      <c r="C22" s="551"/>
      <c r="D22" s="658"/>
      <c r="E22" s="47" t="s">
        <v>288</v>
      </c>
      <c r="F22" s="32" t="s">
        <v>289</v>
      </c>
      <c r="G22" s="15">
        <v>10</v>
      </c>
      <c r="H22" s="59">
        <f>'TABLA GENERAL'!D36</f>
        <v>57181</v>
      </c>
      <c r="I22" s="115">
        <v>571810</v>
      </c>
      <c r="J22" s="15">
        <v>5</v>
      </c>
      <c r="K22" s="60">
        <f t="shared" si="0"/>
        <v>285905</v>
      </c>
    </row>
    <row r="23" spans="1:12" ht="15.75" thickBot="1" x14ac:dyDescent="0.3">
      <c r="A23" s="551"/>
      <c r="B23" s="551"/>
      <c r="C23" s="551"/>
      <c r="D23" s="655" t="s">
        <v>290</v>
      </c>
      <c r="E23" s="47" t="s">
        <v>291</v>
      </c>
      <c r="F23" s="32" t="s">
        <v>292</v>
      </c>
      <c r="G23" s="15">
        <v>2</v>
      </c>
      <c r="H23" s="59">
        <f>'TABLA GENERAL'!D39</f>
        <v>29368</v>
      </c>
      <c r="I23" s="115">
        <v>58736</v>
      </c>
      <c r="J23" s="15">
        <v>1</v>
      </c>
      <c r="K23" s="60">
        <f t="shared" si="0"/>
        <v>29368</v>
      </c>
    </row>
    <row r="24" spans="1:12" ht="15.75" thickBot="1" x14ac:dyDescent="0.3">
      <c r="A24" s="551"/>
      <c r="B24" s="551"/>
      <c r="C24" s="551"/>
      <c r="D24" s="659"/>
      <c r="E24" s="47" t="s">
        <v>293</v>
      </c>
      <c r="F24" s="32" t="s">
        <v>294</v>
      </c>
      <c r="G24" s="15">
        <v>1</v>
      </c>
      <c r="H24" s="59">
        <f>'TABLA GENERAL'!D40</f>
        <v>26082</v>
      </c>
      <c r="I24" s="115">
        <v>26082</v>
      </c>
      <c r="J24" s="15">
        <v>1</v>
      </c>
      <c r="K24" s="60">
        <f t="shared" si="0"/>
        <v>26082</v>
      </c>
    </row>
    <row r="25" spans="1:12" ht="16.5" customHeight="1" thickBot="1" x14ac:dyDescent="0.3">
      <c r="A25" s="551"/>
      <c r="B25" s="551"/>
      <c r="C25" s="552"/>
      <c r="D25" s="656"/>
      <c r="E25" s="47" t="s">
        <v>295</v>
      </c>
      <c r="F25" s="32" t="s">
        <v>296</v>
      </c>
      <c r="G25" s="15">
        <v>10</v>
      </c>
      <c r="H25" s="59">
        <f>'TABLA GENERAL'!D41</f>
        <v>44012</v>
      </c>
      <c r="I25" s="115">
        <v>440120</v>
      </c>
      <c r="J25" s="15">
        <v>1</v>
      </c>
      <c r="K25" s="60">
        <f t="shared" si="0"/>
        <v>44012</v>
      </c>
    </row>
    <row r="26" spans="1:12" ht="15.75" thickBot="1" x14ac:dyDescent="0.3">
      <c r="A26" s="551"/>
      <c r="B26" s="551"/>
      <c r="C26" s="642"/>
      <c r="D26" s="643"/>
      <c r="E26" s="47" t="s">
        <v>300</v>
      </c>
      <c r="F26" s="32" t="s">
        <v>301</v>
      </c>
      <c r="G26" s="15">
        <v>3</v>
      </c>
      <c r="H26" s="59">
        <f>'TABLA GENERAL'!D45</f>
        <v>2744</v>
      </c>
      <c r="I26" s="115">
        <v>8232</v>
      </c>
      <c r="J26" s="15">
        <v>1</v>
      </c>
      <c r="K26" s="60">
        <f t="shared" si="0"/>
        <v>2744</v>
      </c>
    </row>
    <row r="27" spans="1:12" ht="15.75" thickBot="1" x14ac:dyDescent="0.3">
      <c r="A27" s="552"/>
      <c r="B27" s="551"/>
      <c r="C27" s="644"/>
      <c r="D27" s="645"/>
      <c r="E27" s="47" t="s">
        <v>306</v>
      </c>
      <c r="F27" s="57" t="s">
        <v>307</v>
      </c>
      <c r="G27" s="51">
        <v>1</v>
      </c>
      <c r="H27" s="71">
        <f>'TABLA GENERAL'!D48</f>
        <v>670956</v>
      </c>
      <c r="I27" s="116">
        <v>670956</v>
      </c>
      <c r="J27" s="51">
        <f>0.25+0.1</f>
        <v>0.35</v>
      </c>
      <c r="K27" s="60">
        <f t="shared" si="0"/>
        <v>234834.59999999998</v>
      </c>
    </row>
    <row r="28" spans="1:12" ht="17.25" thickBot="1" x14ac:dyDescent="0.3">
      <c r="A28" s="112"/>
      <c r="B28" s="552"/>
      <c r="C28" s="308"/>
      <c r="D28" s="112"/>
      <c r="E28" s="112"/>
      <c r="F28" s="112" t="s">
        <v>308</v>
      </c>
      <c r="G28" s="112"/>
      <c r="H28" s="112"/>
      <c r="I28" s="118">
        <f>SUM(I5:I27)</f>
        <v>6329346</v>
      </c>
      <c r="J28" s="112"/>
      <c r="K28" s="119">
        <f>SUM(K5:K27)</f>
        <v>1712801.6</v>
      </c>
      <c r="L28" s="14"/>
    </row>
    <row r="30" spans="1:12" thickBot="1" x14ac:dyDescent="0.35"/>
    <row r="31" spans="1:12" ht="47.25" customHeight="1" thickBot="1" x14ac:dyDescent="0.35">
      <c r="B31" s="195"/>
      <c r="C31" s="195"/>
      <c r="D31" s="195"/>
      <c r="E31" s="195"/>
      <c r="F31" s="617" t="s">
        <v>309</v>
      </c>
      <c r="G31" s="618"/>
      <c r="H31" s="618"/>
      <c r="I31" s="618"/>
      <c r="J31" s="618"/>
      <c r="K31" s="618"/>
    </row>
    <row r="32" spans="1:12" ht="50.25" customHeight="1" thickBot="1" x14ac:dyDescent="0.3">
      <c r="A32" s="314" t="s">
        <v>228</v>
      </c>
      <c r="B32" s="550" t="s">
        <v>310</v>
      </c>
      <c r="C32" s="121"/>
      <c r="D32" s="122"/>
      <c r="E32" s="314"/>
      <c r="F32" s="112" t="s">
        <v>85</v>
      </c>
      <c r="G32" s="314" t="s">
        <v>229</v>
      </c>
      <c r="H32" s="314" t="s">
        <v>123</v>
      </c>
      <c r="I32" s="113" t="s">
        <v>230</v>
      </c>
      <c r="J32" s="314">
        <v>2021</v>
      </c>
      <c r="K32" s="314" t="s">
        <v>79</v>
      </c>
    </row>
    <row r="33" spans="1:12" ht="16.5" customHeight="1" thickBot="1" x14ac:dyDescent="0.3">
      <c r="A33" s="279"/>
      <c r="B33" s="551"/>
      <c r="C33" s="646"/>
      <c r="D33" s="647"/>
      <c r="E33" s="47" t="s">
        <v>314</v>
      </c>
      <c r="F33" s="32" t="s">
        <v>315</v>
      </c>
      <c r="G33" s="15">
        <v>84</v>
      </c>
      <c r="H33" s="59">
        <f>'TABLA GENERAL'!D57</f>
        <v>2300</v>
      </c>
      <c r="I33" s="115">
        <f t="shared" ref="I33:I36" si="1">G33*H33</f>
        <v>193200</v>
      </c>
      <c r="J33" s="15">
        <v>12</v>
      </c>
      <c r="K33" s="60">
        <f t="shared" ref="K33:K36" si="2">J33*H33</f>
        <v>27600</v>
      </c>
    </row>
    <row r="34" spans="1:12" ht="16.5" customHeight="1" thickBot="1" x14ac:dyDescent="0.3">
      <c r="A34" s="279"/>
      <c r="B34" s="551"/>
      <c r="C34" s="646"/>
      <c r="D34" s="647"/>
      <c r="E34" s="47" t="s">
        <v>94</v>
      </c>
      <c r="F34" s="32" t="s">
        <v>93</v>
      </c>
      <c r="G34" s="15">
        <v>125</v>
      </c>
      <c r="H34" s="59">
        <f>'TABLA GENERAL'!D58</f>
        <v>1690</v>
      </c>
      <c r="I34" s="115">
        <f t="shared" si="1"/>
        <v>211250</v>
      </c>
      <c r="J34" s="15">
        <v>14</v>
      </c>
      <c r="K34" s="60">
        <f t="shared" si="2"/>
        <v>23660</v>
      </c>
    </row>
    <row r="35" spans="1:12" ht="16.5" customHeight="1" thickBot="1" x14ac:dyDescent="0.3">
      <c r="A35" s="279"/>
      <c r="B35" s="551"/>
      <c r="C35" s="646"/>
      <c r="D35" s="647"/>
      <c r="E35" s="47" t="s">
        <v>92</v>
      </c>
      <c r="F35" s="32" t="s">
        <v>91</v>
      </c>
      <c r="G35" s="15">
        <v>140</v>
      </c>
      <c r="H35" s="59">
        <f>'TABLA GENERAL'!D59</f>
        <v>13300</v>
      </c>
      <c r="I35" s="115">
        <f t="shared" si="1"/>
        <v>1862000</v>
      </c>
      <c r="J35" s="15">
        <v>12</v>
      </c>
      <c r="K35" s="60">
        <f t="shared" si="2"/>
        <v>159600</v>
      </c>
    </row>
    <row r="36" spans="1:12" ht="15.75" thickBot="1" x14ac:dyDescent="0.3">
      <c r="A36" s="279"/>
      <c r="B36" s="551"/>
      <c r="C36" s="646"/>
      <c r="D36" s="647"/>
      <c r="E36" s="47" t="s">
        <v>330</v>
      </c>
      <c r="F36" s="32" t="s">
        <v>331</v>
      </c>
      <c r="G36" s="15">
        <v>56</v>
      </c>
      <c r="H36" s="59">
        <f>'TABLA GENERAL'!D69</f>
        <v>712</v>
      </c>
      <c r="I36" s="115">
        <f t="shared" si="1"/>
        <v>39872</v>
      </c>
      <c r="J36" s="15">
        <v>12</v>
      </c>
      <c r="K36" s="60">
        <f t="shared" si="2"/>
        <v>8544</v>
      </c>
    </row>
    <row r="37" spans="1:12" ht="33.75" customHeight="1" thickBot="1" x14ac:dyDescent="0.3">
      <c r="A37" s="279"/>
      <c r="B37" s="306" t="s">
        <v>752</v>
      </c>
      <c r="C37" s="629"/>
      <c r="D37" s="639"/>
      <c r="E37" s="314"/>
      <c r="F37" s="112" t="s">
        <v>85</v>
      </c>
      <c r="G37" s="314" t="s">
        <v>229</v>
      </c>
      <c r="H37" s="314" t="s">
        <v>123</v>
      </c>
      <c r="I37" s="113" t="s">
        <v>230</v>
      </c>
      <c r="J37" s="314">
        <v>2021</v>
      </c>
      <c r="K37" s="314" t="s">
        <v>79</v>
      </c>
    </row>
    <row r="38" spans="1:12" thickBot="1" x14ac:dyDescent="0.35">
      <c r="A38" s="112"/>
      <c r="B38" s="112"/>
      <c r="C38" s="112"/>
      <c r="D38" s="124"/>
      <c r="E38" s="112"/>
      <c r="F38" s="112" t="s">
        <v>472</v>
      </c>
      <c r="G38" s="112"/>
      <c r="H38" s="112"/>
      <c r="I38" s="118">
        <f>SUM(I33:I37)</f>
        <v>2306322</v>
      </c>
      <c r="J38" s="112"/>
      <c r="K38" s="119">
        <f>SUM(K33:K37)</f>
        <v>219404</v>
      </c>
      <c r="L38" s="14">
        <f>SUM(K33:K36)</f>
        <v>219404</v>
      </c>
    </row>
    <row r="40" spans="1:12" thickBot="1" x14ac:dyDescent="0.35"/>
    <row r="41" spans="1:12" ht="47.25" customHeight="1" thickBot="1" x14ac:dyDescent="0.3">
      <c r="B41" s="195"/>
      <c r="C41" s="195"/>
      <c r="D41" s="195"/>
      <c r="E41" s="195"/>
      <c r="F41" s="617" t="s">
        <v>473</v>
      </c>
      <c r="G41" s="618"/>
      <c r="H41" s="618"/>
      <c r="I41" s="618"/>
      <c r="J41" s="618"/>
      <c r="K41" s="618"/>
    </row>
    <row r="42" spans="1:12" ht="28.15" thickBot="1" x14ac:dyDescent="0.35">
      <c r="A42" s="314" t="s">
        <v>228</v>
      </c>
      <c r="B42" s="314"/>
      <c r="C42" s="314"/>
      <c r="D42" s="314"/>
      <c r="E42" s="314"/>
      <c r="F42" s="314" t="s">
        <v>85</v>
      </c>
      <c r="G42" s="314" t="s">
        <v>229</v>
      </c>
      <c r="H42" s="314" t="s">
        <v>123</v>
      </c>
      <c r="I42" s="113" t="s">
        <v>230</v>
      </c>
      <c r="J42" s="314">
        <v>2021</v>
      </c>
      <c r="K42" s="314" t="s">
        <v>79</v>
      </c>
    </row>
    <row r="43" spans="1:12" ht="30.75" thickBot="1" x14ac:dyDescent="0.3">
      <c r="A43" s="559" t="s">
        <v>473</v>
      </c>
      <c r="B43" s="551"/>
      <c r="C43" s="629"/>
      <c r="D43" s="630"/>
      <c r="E43" s="56" t="s">
        <v>120</v>
      </c>
      <c r="F43" s="32" t="s">
        <v>119</v>
      </c>
      <c r="G43" s="15">
        <v>68</v>
      </c>
      <c r="H43" s="72">
        <f>'TABLA GENERAL'!D167</f>
        <v>3202</v>
      </c>
      <c r="I43" s="114">
        <f t="shared" ref="I43:I46" si="3">H43*G43</f>
        <v>217736</v>
      </c>
      <c r="J43" s="15">
        <v>14</v>
      </c>
      <c r="K43" s="60">
        <f>J43*H43</f>
        <v>44828</v>
      </c>
    </row>
    <row r="44" spans="1:12" ht="15.75" thickBot="1" x14ac:dyDescent="0.3">
      <c r="A44" s="559" t="s">
        <v>473</v>
      </c>
      <c r="B44" s="551"/>
      <c r="C44" s="629"/>
      <c r="D44" s="630"/>
      <c r="E44" s="56" t="s">
        <v>115</v>
      </c>
      <c r="F44" s="32" t="s">
        <v>114</v>
      </c>
      <c r="G44" s="15">
        <v>56</v>
      </c>
      <c r="H44" s="72">
        <f>'TABLA GENERAL'!D169</f>
        <v>3600</v>
      </c>
      <c r="I44" s="114">
        <f t="shared" si="3"/>
        <v>201600</v>
      </c>
      <c r="J44" s="15">
        <v>18</v>
      </c>
      <c r="K44" s="60">
        <f t="shared" ref="K44:K46" si="4">J44*H44</f>
        <v>64800</v>
      </c>
    </row>
    <row r="45" spans="1:12" ht="15.75" thickBot="1" x14ac:dyDescent="0.3">
      <c r="A45" s="559" t="s">
        <v>473</v>
      </c>
      <c r="B45" s="551"/>
      <c r="C45" s="629"/>
      <c r="D45" s="630"/>
      <c r="E45" s="56" t="s">
        <v>109</v>
      </c>
      <c r="F45" s="32" t="s">
        <v>108</v>
      </c>
      <c r="G45" s="15">
        <v>36</v>
      </c>
      <c r="H45" s="59">
        <f>'TABLA GENERAL'!D178</f>
        <v>3305</v>
      </c>
      <c r="I45" s="114">
        <f t="shared" si="3"/>
        <v>118980</v>
      </c>
      <c r="J45" s="15">
        <v>14</v>
      </c>
      <c r="K45" s="60">
        <f t="shared" si="4"/>
        <v>46270</v>
      </c>
    </row>
    <row r="46" spans="1:12" ht="16.5" customHeight="1" thickBot="1" x14ac:dyDescent="0.3">
      <c r="A46" s="559" t="s">
        <v>473</v>
      </c>
      <c r="B46" s="551"/>
      <c r="C46" s="633" t="s">
        <v>511</v>
      </c>
      <c r="D46" s="634"/>
      <c r="E46" s="56" t="s">
        <v>512</v>
      </c>
      <c r="F46" s="32" t="s">
        <v>513</v>
      </c>
      <c r="G46" s="15">
        <v>20</v>
      </c>
      <c r="H46" s="59">
        <f>'TABLA GENERAL'!D186</f>
        <v>1200</v>
      </c>
      <c r="I46" s="114">
        <f t="shared" si="3"/>
        <v>24000</v>
      </c>
      <c r="J46" s="15">
        <v>1</v>
      </c>
      <c r="K46" s="60">
        <f t="shared" si="4"/>
        <v>1200</v>
      </c>
    </row>
    <row r="47" spans="1:12" ht="17.25" thickBot="1" x14ac:dyDescent="0.3">
      <c r="A47" s="112"/>
      <c r="B47" s="112"/>
      <c r="C47" s="112"/>
      <c r="D47" s="112"/>
      <c r="E47" s="112"/>
      <c r="F47" s="112" t="s">
        <v>516</v>
      </c>
      <c r="G47" s="112"/>
      <c r="H47" s="112"/>
      <c r="I47" s="118">
        <f>SUM(I43:I46)</f>
        <v>562316</v>
      </c>
      <c r="J47" s="112"/>
      <c r="K47" s="119">
        <f>SUM(K43:K46)</f>
        <v>157098</v>
      </c>
      <c r="L47" s="14">
        <f>SUM(K43:K46)</f>
        <v>157098</v>
      </c>
    </row>
    <row r="49" spans="1:12" thickBot="1" x14ac:dyDescent="0.35"/>
    <row r="50" spans="1:12" ht="47.25" customHeight="1" thickBot="1" x14ac:dyDescent="0.3">
      <c r="B50" s="195"/>
      <c r="C50" s="195"/>
      <c r="D50" s="195"/>
      <c r="E50" s="195"/>
      <c r="F50" s="617" t="s">
        <v>517</v>
      </c>
      <c r="G50" s="618"/>
      <c r="H50" s="618"/>
      <c r="I50" s="618"/>
      <c r="J50" s="618"/>
      <c r="K50" s="618"/>
    </row>
    <row r="51" spans="1:12" ht="28.15" thickBot="1" x14ac:dyDescent="0.35">
      <c r="A51" s="314" t="s">
        <v>228</v>
      </c>
      <c r="B51" s="314"/>
      <c r="C51" s="314"/>
      <c r="D51" s="314"/>
      <c r="E51" s="314"/>
      <c r="F51" s="314" t="s">
        <v>85</v>
      </c>
      <c r="G51" s="314" t="s">
        <v>229</v>
      </c>
      <c r="H51" s="314" t="s">
        <v>123</v>
      </c>
      <c r="I51" s="113" t="s">
        <v>230</v>
      </c>
      <c r="J51" s="314">
        <v>2021</v>
      </c>
      <c r="K51" s="314" t="s">
        <v>79</v>
      </c>
    </row>
    <row r="52" spans="1:12" ht="15.75" thickBot="1" x14ac:dyDescent="0.3">
      <c r="A52" s="309"/>
      <c r="B52" s="307"/>
      <c r="C52" s="633" t="s">
        <v>531</v>
      </c>
      <c r="D52" s="634"/>
      <c r="E52" s="56" t="s">
        <v>532</v>
      </c>
      <c r="F52" s="32" t="s">
        <v>533</v>
      </c>
      <c r="G52" s="15">
        <v>4</v>
      </c>
      <c r="H52" s="59">
        <v>1800</v>
      </c>
      <c r="I52" s="114">
        <f t="shared" ref="I52" si="5">+H52*G52</f>
        <v>7200</v>
      </c>
      <c r="J52" s="51">
        <v>2</v>
      </c>
      <c r="K52" s="60">
        <f t="shared" ref="K52" si="6">J52*H52</f>
        <v>3600</v>
      </c>
    </row>
    <row r="53" spans="1:12" ht="17.25" thickBot="1" x14ac:dyDescent="0.3">
      <c r="A53" s="112"/>
      <c r="B53" s="112"/>
      <c r="C53" s="112"/>
      <c r="D53" s="112"/>
      <c r="E53" s="112"/>
      <c r="F53" s="112" t="s">
        <v>534</v>
      </c>
      <c r="G53" s="112"/>
      <c r="H53" s="112"/>
      <c r="I53" s="118">
        <f>SUM(I52:I52)</f>
        <v>7200</v>
      </c>
      <c r="J53" s="112"/>
      <c r="K53" s="119">
        <f>SUM(K52:K52)</f>
        <v>3600</v>
      </c>
      <c r="L53" s="14">
        <f>+K52</f>
        <v>3600</v>
      </c>
    </row>
    <row r="54" spans="1:12" ht="15.75" thickBot="1" x14ac:dyDescent="0.3"/>
    <row r="55" spans="1:12" ht="47.25" customHeight="1" thickBot="1" x14ac:dyDescent="0.3">
      <c r="B55" s="195"/>
      <c r="C55" s="195"/>
      <c r="D55" s="195"/>
      <c r="E55" s="195"/>
      <c r="F55" s="617" t="s">
        <v>535</v>
      </c>
      <c r="G55" s="618"/>
      <c r="H55" s="618"/>
      <c r="I55" s="618"/>
      <c r="J55" s="618"/>
      <c r="K55" s="618"/>
    </row>
    <row r="56" spans="1:12" ht="50.25" customHeight="1" thickBot="1" x14ac:dyDescent="0.3">
      <c r="A56" s="314" t="s">
        <v>228</v>
      </c>
      <c r="B56" s="610" t="s">
        <v>536</v>
      </c>
      <c r="C56" s="622"/>
      <c r="D56" s="622"/>
      <c r="E56" s="125"/>
      <c r="F56" s="314" t="s">
        <v>85</v>
      </c>
      <c r="G56" s="314" t="s">
        <v>229</v>
      </c>
      <c r="H56" s="112" t="s">
        <v>123</v>
      </c>
      <c r="I56" s="118" t="s">
        <v>230</v>
      </c>
      <c r="J56" s="314">
        <v>2021</v>
      </c>
      <c r="K56" s="314" t="s">
        <v>79</v>
      </c>
    </row>
    <row r="57" spans="1:12" ht="42.75" customHeight="1" thickBot="1" x14ac:dyDescent="0.3">
      <c r="A57" s="558" t="s">
        <v>535</v>
      </c>
      <c r="B57" s="612"/>
      <c r="C57" s="623"/>
      <c r="D57" s="623"/>
      <c r="E57" s="56" t="s">
        <v>168</v>
      </c>
      <c r="F57" s="48" t="s">
        <v>169</v>
      </c>
      <c r="G57" s="47">
        <v>8</v>
      </c>
      <c r="H57" s="72">
        <f>'TABLA GENERAL'!D227</f>
        <v>90850</v>
      </c>
      <c r="I57" s="114">
        <f>H57*G57</f>
        <v>726800</v>
      </c>
      <c r="J57" s="47">
        <v>3</v>
      </c>
      <c r="K57" s="60">
        <f t="shared" ref="K57:K66" si="7">J57*H57</f>
        <v>272550</v>
      </c>
    </row>
    <row r="58" spans="1:12" ht="43.5" customHeight="1" thickBot="1" x14ac:dyDescent="0.3">
      <c r="A58" s="559" t="s">
        <v>535</v>
      </c>
      <c r="B58" s="612"/>
      <c r="C58" s="623"/>
      <c r="D58" s="623"/>
      <c r="E58" s="56" t="s">
        <v>171</v>
      </c>
      <c r="F58" s="32" t="s">
        <v>172</v>
      </c>
      <c r="G58" s="15">
        <v>9</v>
      </c>
      <c r="H58" s="72">
        <f>'TABLA GENERAL'!D228</f>
        <v>4932</v>
      </c>
      <c r="I58" s="114">
        <f t="shared" ref="I58:I66" si="8">H58*G58</f>
        <v>44388</v>
      </c>
      <c r="J58" s="15">
        <v>3</v>
      </c>
      <c r="K58" s="60">
        <f t="shared" si="7"/>
        <v>14796</v>
      </c>
    </row>
    <row r="59" spans="1:12" ht="31.5" customHeight="1" thickBot="1" x14ac:dyDescent="0.3">
      <c r="A59" s="559" t="s">
        <v>535</v>
      </c>
      <c r="B59" s="612"/>
      <c r="C59" s="623"/>
      <c r="D59" s="623"/>
      <c r="E59" s="56" t="s">
        <v>173</v>
      </c>
      <c r="F59" s="32" t="s">
        <v>174</v>
      </c>
      <c r="G59" s="15">
        <v>18</v>
      </c>
      <c r="H59" s="72">
        <f>'TABLA GENERAL'!D229</f>
        <v>92</v>
      </c>
      <c r="I59" s="114">
        <f t="shared" si="8"/>
        <v>1656</v>
      </c>
      <c r="J59" s="15">
        <v>6</v>
      </c>
      <c r="K59" s="60">
        <f t="shared" si="7"/>
        <v>552</v>
      </c>
    </row>
    <row r="60" spans="1:12" ht="25.5" customHeight="1" thickBot="1" x14ac:dyDescent="0.3">
      <c r="A60" s="559" t="s">
        <v>535</v>
      </c>
      <c r="B60" s="612"/>
      <c r="C60" s="623"/>
      <c r="D60" s="623"/>
      <c r="E60" s="56" t="s">
        <v>176</v>
      </c>
      <c r="F60" s="32" t="s">
        <v>177</v>
      </c>
      <c r="G60" s="15">
        <v>9</v>
      </c>
      <c r="H60" s="72">
        <f>'TABLA GENERAL'!D230</f>
        <v>65</v>
      </c>
      <c r="I60" s="114">
        <f t="shared" si="8"/>
        <v>585</v>
      </c>
      <c r="J60" s="15">
        <v>3</v>
      </c>
      <c r="K60" s="60">
        <f t="shared" si="7"/>
        <v>195</v>
      </c>
    </row>
    <row r="61" spans="1:12" ht="30" customHeight="1" thickBot="1" x14ac:dyDescent="0.3">
      <c r="A61" s="559" t="s">
        <v>535</v>
      </c>
      <c r="B61" s="612"/>
      <c r="C61" s="623"/>
      <c r="D61" s="623"/>
      <c r="E61" s="56" t="s">
        <v>537</v>
      </c>
      <c r="F61" s="32" t="s">
        <v>538</v>
      </c>
      <c r="G61" s="15">
        <v>9</v>
      </c>
      <c r="H61" s="72">
        <f>'TABLA GENERAL'!D231</f>
        <v>2750</v>
      </c>
      <c r="I61" s="114">
        <f t="shared" si="8"/>
        <v>24750</v>
      </c>
      <c r="J61" s="15">
        <v>3</v>
      </c>
      <c r="K61" s="60">
        <f t="shared" si="7"/>
        <v>8250</v>
      </c>
    </row>
    <row r="62" spans="1:12" ht="40.5" customHeight="1" thickBot="1" x14ac:dyDescent="0.3">
      <c r="A62" s="559" t="s">
        <v>535</v>
      </c>
      <c r="B62" s="612"/>
      <c r="C62" s="623"/>
      <c r="D62" s="623"/>
      <c r="E62" s="56" t="s">
        <v>539</v>
      </c>
      <c r="F62" s="32" t="s">
        <v>540</v>
      </c>
      <c r="G62" s="15">
        <v>9</v>
      </c>
      <c r="H62" s="72">
        <f>'TABLA GENERAL'!D232</f>
        <v>1240</v>
      </c>
      <c r="I62" s="114">
        <f t="shared" si="8"/>
        <v>11160</v>
      </c>
      <c r="J62" s="15">
        <v>3</v>
      </c>
      <c r="K62" s="60">
        <f t="shared" si="7"/>
        <v>3720</v>
      </c>
    </row>
    <row r="63" spans="1:12" ht="24.75" customHeight="1" thickBot="1" x14ac:dyDescent="0.3">
      <c r="A63" s="559" t="s">
        <v>535</v>
      </c>
      <c r="B63" s="612"/>
      <c r="C63" s="623"/>
      <c r="D63" s="623"/>
      <c r="E63" s="56" t="s">
        <v>541</v>
      </c>
      <c r="F63" s="32" t="s">
        <v>542</v>
      </c>
      <c r="G63" s="15">
        <v>9</v>
      </c>
      <c r="H63" s="72">
        <f>'TABLA GENERAL'!D233</f>
        <v>62</v>
      </c>
      <c r="I63" s="114">
        <f t="shared" si="8"/>
        <v>558</v>
      </c>
      <c r="J63" s="15">
        <v>3</v>
      </c>
      <c r="K63" s="60">
        <f t="shared" si="7"/>
        <v>186</v>
      </c>
    </row>
    <row r="64" spans="1:12" ht="27" customHeight="1" thickBot="1" x14ac:dyDescent="0.3">
      <c r="A64" s="559" t="s">
        <v>535</v>
      </c>
      <c r="B64" s="612"/>
      <c r="C64" s="623"/>
      <c r="D64" s="623"/>
      <c r="E64" s="56" t="s">
        <v>543</v>
      </c>
      <c r="F64" s="32" t="s">
        <v>544</v>
      </c>
      <c r="G64" s="15">
        <v>9</v>
      </c>
      <c r="H64" s="72">
        <f>'TABLA GENERAL'!D234</f>
        <v>65</v>
      </c>
      <c r="I64" s="114">
        <f t="shared" si="8"/>
        <v>585</v>
      </c>
      <c r="J64" s="15">
        <v>3</v>
      </c>
      <c r="K64" s="60">
        <f t="shared" si="7"/>
        <v>195</v>
      </c>
    </row>
    <row r="65" spans="1:12" ht="33.75" customHeight="1" thickBot="1" x14ac:dyDescent="0.3">
      <c r="A65" s="559" t="s">
        <v>535</v>
      </c>
      <c r="B65" s="612"/>
      <c r="C65" s="623"/>
      <c r="D65" s="623"/>
      <c r="E65" s="56" t="s">
        <v>545</v>
      </c>
      <c r="F65" s="32" t="s">
        <v>546</v>
      </c>
      <c r="G65" s="15">
        <v>9</v>
      </c>
      <c r="H65" s="72">
        <f>'TABLA GENERAL'!D235</f>
        <v>500</v>
      </c>
      <c r="I65" s="114">
        <f t="shared" si="8"/>
        <v>4500</v>
      </c>
      <c r="J65" s="15">
        <v>3</v>
      </c>
      <c r="K65" s="60">
        <f t="shared" si="7"/>
        <v>1500</v>
      </c>
    </row>
    <row r="66" spans="1:12" ht="30" customHeight="1" thickBot="1" x14ac:dyDescent="0.3">
      <c r="A66" s="560" t="s">
        <v>535</v>
      </c>
      <c r="B66" s="126"/>
      <c r="C66" s="127"/>
      <c r="D66" s="127"/>
      <c r="E66" s="56" t="s">
        <v>547</v>
      </c>
      <c r="F66" s="57" t="s">
        <v>548</v>
      </c>
      <c r="G66" s="51">
        <v>9</v>
      </c>
      <c r="H66" s="72">
        <f>'TABLA GENERAL'!D236</f>
        <v>218</v>
      </c>
      <c r="I66" s="114">
        <f t="shared" si="8"/>
        <v>1962</v>
      </c>
      <c r="J66" s="15">
        <v>3</v>
      </c>
      <c r="K66" s="60">
        <f t="shared" si="7"/>
        <v>654</v>
      </c>
    </row>
    <row r="67" spans="1:12" ht="17.25" thickBot="1" x14ac:dyDescent="0.3">
      <c r="A67" s="112"/>
      <c r="B67" s="112"/>
      <c r="C67" s="112"/>
      <c r="D67" s="112"/>
      <c r="E67" s="112"/>
      <c r="F67" s="112" t="s">
        <v>549</v>
      </c>
      <c r="G67" s="112"/>
      <c r="H67" s="112"/>
      <c r="I67" s="118">
        <f>SUM(I57:I66)</f>
        <v>816944</v>
      </c>
      <c r="J67" s="112"/>
      <c r="K67" s="119">
        <f>SUM(K57:K66)</f>
        <v>302598</v>
      </c>
      <c r="L67" s="14">
        <f>SUM(K57:K66)</f>
        <v>302598</v>
      </c>
    </row>
    <row r="69" spans="1:12" ht="15.75" thickBot="1" x14ac:dyDescent="0.3"/>
    <row r="70" spans="1:12" ht="47.25" customHeight="1" thickBot="1" x14ac:dyDescent="0.3">
      <c r="B70" s="195"/>
      <c r="C70" s="195"/>
      <c r="D70" s="195"/>
      <c r="E70" s="195"/>
      <c r="F70" s="617" t="s">
        <v>554</v>
      </c>
      <c r="G70" s="618"/>
      <c r="H70" s="618"/>
      <c r="I70" s="618"/>
      <c r="J70" s="618"/>
      <c r="K70" s="618"/>
    </row>
    <row r="71" spans="1:12" ht="50.25" customHeight="1" thickBot="1" x14ac:dyDescent="0.3">
      <c r="A71" s="314" t="s">
        <v>228</v>
      </c>
      <c r="B71" s="586" t="s">
        <v>555</v>
      </c>
      <c r="C71" s="587"/>
      <c r="D71" s="587"/>
      <c r="E71" s="130"/>
      <c r="F71" s="314" t="s">
        <v>85</v>
      </c>
      <c r="G71" s="314" t="s">
        <v>229</v>
      </c>
      <c r="H71" s="314" t="s">
        <v>123</v>
      </c>
      <c r="I71" s="113" t="s">
        <v>556</v>
      </c>
      <c r="J71" s="314">
        <v>2021</v>
      </c>
      <c r="K71" s="314" t="s">
        <v>79</v>
      </c>
    </row>
    <row r="72" spans="1:12" ht="16.5" customHeight="1" thickBot="1" x14ac:dyDescent="0.3">
      <c r="A72" s="554"/>
      <c r="B72" s="616"/>
      <c r="C72" s="624"/>
      <c r="D72" s="624"/>
      <c r="E72" s="56" t="s">
        <v>194</v>
      </c>
      <c r="F72" s="32" t="s">
        <v>195</v>
      </c>
      <c r="G72" s="15">
        <v>10</v>
      </c>
      <c r="H72" s="72">
        <f>'TABLA GENERAL'!D255</f>
        <v>1300</v>
      </c>
      <c r="I72" s="114">
        <f t="shared" ref="I72:I73" si="9">+G72*H72</f>
        <v>13000</v>
      </c>
      <c r="J72" s="47">
        <v>4</v>
      </c>
      <c r="K72" s="60">
        <f t="shared" ref="K72:K73" si="10">J72*H72</f>
        <v>5200</v>
      </c>
    </row>
    <row r="73" spans="1:12" ht="30.75" thickBot="1" x14ac:dyDescent="0.3">
      <c r="A73" s="561"/>
      <c r="B73" s="589"/>
      <c r="C73" s="590"/>
      <c r="D73" s="590"/>
      <c r="E73" s="56" t="s">
        <v>569</v>
      </c>
      <c r="F73" s="57" t="s">
        <v>570</v>
      </c>
      <c r="G73" s="51">
        <v>10</v>
      </c>
      <c r="H73" s="72">
        <f>'TABLA GENERAL'!D256</f>
        <v>212</v>
      </c>
      <c r="I73" s="114">
        <f t="shared" si="9"/>
        <v>2120</v>
      </c>
      <c r="J73" s="47">
        <v>4</v>
      </c>
      <c r="K73" s="60">
        <f t="shared" si="10"/>
        <v>848</v>
      </c>
    </row>
    <row r="74" spans="1:12" ht="17.25" thickBot="1" x14ac:dyDescent="0.3">
      <c r="A74" s="112"/>
      <c r="B74" s="112"/>
      <c r="C74" s="112"/>
      <c r="D74" s="112"/>
      <c r="E74" s="112"/>
      <c r="F74" s="112" t="s">
        <v>571</v>
      </c>
      <c r="G74" s="112"/>
      <c r="H74" s="112"/>
      <c r="I74" s="118">
        <f>SUM(I72:I73)</f>
        <v>15120</v>
      </c>
      <c r="J74" s="112"/>
      <c r="K74" s="119">
        <f>SUM(K72:K73)</f>
        <v>6048</v>
      </c>
      <c r="L74" s="14">
        <f>+K72+K73</f>
        <v>6048</v>
      </c>
    </row>
    <row r="76" spans="1:12" ht="15.75" thickBot="1" x14ac:dyDescent="0.3"/>
    <row r="77" spans="1:12" ht="47.25" customHeight="1" thickBot="1" x14ac:dyDescent="0.3">
      <c r="B77" s="195"/>
      <c r="C77" s="195"/>
      <c r="D77" s="195"/>
      <c r="E77" s="195"/>
      <c r="F77" s="617" t="s">
        <v>572</v>
      </c>
      <c r="G77" s="618"/>
      <c r="H77" s="618"/>
      <c r="I77" s="618"/>
      <c r="J77" s="618"/>
      <c r="K77" s="618"/>
    </row>
    <row r="78" spans="1:12" ht="50.25" customHeight="1" thickBot="1" x14ac:dyDescent="0.3">
      <c r="A78" s="314" t="s">
        <v>228</v>
      </c>
      <c r="B78" s="597" t="s">
        <v>573</v>
      </c>
      <c r="C78" s="555"/>
      <c r="D78" s="555"/>
      <c r="E78" s="131"/>
      <c r="F78" s="314" t="s">
        <v>85</v>
      </c>
      <c r="G78" s="314" t="s">
        <v>229</v>
      </c>
      <c r="H78" s="314" t="s">
        <v>123</v>
      </c>
      <c r="I78" s="113" t="s">
        <v>230</v>
      </c>
      <c r="J78" s="314">
        <v>2021</v>
      </c>
      <c r="K78" s="314" t="s">
        <v>79</v>
      </c>
    </row>
    <row r="79" spans="1:12" ht="16.5" customHeight="1" thickBot="1" x14ac:dyDescent="0.3">
      <c r="A79" s="563"/>
      <c r="B79" s="604"/>
      <c r="C79" s="605"/>
      <c r="D79" s="605"/>
      <c r="E79" s="56" t="s">
        <v>198</v>
      </c>
      <c r="F79" s="105" t="s">
        <v>199</v>
      </c>
      <c r="G79" s="15">
        <v>5</v>
      </c>
      <c r="H79" s="72">
        <f>'TABLA GENERAL'!D263</f>
        <v>24460</v>
      </c>
      <c r="I79" s="114">
        <f t="shared" ref="I79:I80" si="11">+H79*G79</f>
        <v>122300</v>
      </c>
      <c r="J79" s="15">
        <v>4</v>
      </c>
      <c r="K79" s="60">
        <f>J79*H79</f>
        <v>97840</v>
      </c>
    </row>
    <row r="80" spans="1:12" ht="16.5" customHeight="1" thickBot="1" x14ac:dyDescent="0.3">
      <c r="A80" s="564"/>
      <c r="B80" s="607"/>
      <c r="C80" s="608"/>
      <c r="D80" s="608"/>
      <c r="E80" s="56" t="s">
        <v>200</v>
      </c>
      <c r="F80" s="106" t="s">
        <v>201</v>
      </c>
      <c r="G80" s="51">
        <v>2</v>
      </c>
      <c r="H80" s="72">
        <f>'TABLA GENERAL'!D264</f>
        <v>2493</v>
      </c>
      <c r="I80" s="114">
        <f t="shared" si="11"/>
        <v>4986</v>
      </c>
      <c r="J80" s="51">
        <v>1</v>
      </c>
      <c r="K80" s="60">
        <f t="shared" ref="K80" si="12">J80*H80</f>
        <v>2493</v>
      </c>
    </row>
    <row r="81" spans="1:12" ht="17.25" thickBot="1" x14ac:dyDescent="0.3">
      <c r="A81" s="112"/>
      <c r="B81" s="112"/>
      <c r="C81" s="112"/>
      <c r="D81" s="112"/>
      <c r="E81" s="112"/>
      <c r="F81" s="112" t="s">
        <v>574</v>
      </c>
      <c r="G81" s="112"/>
      <c r="H81" s="112"/>
      <c r="I81" s="118">
        <f>SUM(I79:I80)</f>
        <v>127286</v>
      </c>
      <c r="J81" s="112"/>
      <c r="K81" s="119">
        <f>SUM(K79:K80)</f>
        <v>100333</v>
      </c>
      <c r="L81" s="14">
        <f>+K79+K80</f>
        <v>100333</v>
      </c>
    </row>
    <row r="84" spans="1:12" ht="27" customHeight="1" x14ac:dyDescent="0.25"/>
    <row r="85" spans="1:12" ht="15.75" thickBot="1" x14ac:dyDescent="0.3"/>
    <row r="86" spans="1:12" ht="47.25" customHeight="1" thickBot="1" x14ac:dyDescent="0.3">
      <c r="B86" s="620"/>
      <c r="C86" s="620"/>
      <c r="D86" s="620"/>
      <c r="E86" s="621"/>
      <c r="F86" s="617" t="s">
        <v>586</v>
      </c>
      <c r="G86" s="618"/>
      <c r="H86" s="618"/>
      <c r="I86" s="618"/>
      <c r="J86" s="618"/>
      <c r="K86" s="618"/>
    </row>
    <row r="87" spans="1:12" ht="33.75" thickBot="1" x14ac:dyDescent="0.3">
      <c r="A87" s="314" t="s">
        <v>228</v>
      </c>
      <c r="B87" s="597" t="s">
        <v>587</v>
      </c>
      <c r="C87" s="555"/>
      <c r="D87" s="598"/>
      <c r="E87" s="314"/>
      <c r="F87" s="314" t="s">
        <v>85</v>
      </c>
      <c r="G87" s="314" t="s">
        <v>229</v>
      </c>
      <c r="H87" s="314" t="s">
        <v>123</v>
      </c>
      <c r="I87" s="113" t="s">
        <v>230</v>
      </c>
      <c r="J87" s="314">
        <v>2021</v>
      </c>
      <c r="K87" s="314" t="s">
        <v>79</v>
      </c>
    </row>
    <row r="88" spans="1:12" ht="15.75" thickBot="1" x14ac:dyDescent="0.3">
      <c r="A88" s="566"/>
      <c r="B88" s="604"/>
      <c r="C88" s="605"/>
      <c r="D88" s="606"/>
      <c r="E88" s="56" t="s">
        <v>215</v>
      </c>
      <c r="F88" s="32" t="s">
        <v>216</v>
      </c>
      <c r="G88" s="15">
        <v>1</v>
      </c>
      <c r="H88" s="72">
        <f>'TABLA GENERAL'!D289</f>
        <v>3058</v>
      </c>
      <c r="I88" s="114">
        <f t="shared" ref="I88:I90" si="13">H88*G88</f>
        <v>3058</v>
      </c>
      <c r="J88" s="15">
        <v>1</v>
      </c>
      <c r="K88" s="60">
        <f t="shared" ref="K88:K90" si="14">J88*H88</f>
        <v>3058</v>
      </c>
    </row>
    <row r="89" spans="1:12" ht="15.75" thickBot="1" x14ac:dyDescent="0.3">
      <c r="A89" s="566"/>
      <c r="B89" s="604"/>
      <c r="C89" s="605"/>
      <c r="D89" s="606"/>
      <c r="E89" s="56" t="s">
        <v>217</v>
      </c>
      <c r="F89" s="32" t="s">
        <v>218</v>
      </c>
      <c r="G89" s="15">
        <v>4</v>
      </c>
      <c r="H89" s="72">
        <f>'TABLA GENERAL'!D290</f>
        <v>2880</v>
      </c>
      <c r="I89" s="114">
        <f t="shared" si="13"/>
        <v>11520</v>
      </c>
      <c r="J89" s="15">
        <v>4</v>
      </c>
      <c r="K89" s="60">
        <f t="shared" si="14"/>
        <v>11520</v>
      </c>
    </row>
    <row r="90" spans="1:12" ht="15.75" thickBot="1" x14ac:dyDescent="0.3">
      <c r="A90" s="567"/>
      <c r="B90" s="607"/>
      <c r="C90" s="608"/>
      <c r="D90" s="609"/>
      <c r="E90" s="56" t="s">
        <v>221</v>
      </c>
      <c r="F90" s="57" t="s">
        <v>222</v>
      </c>
      <c r="G90" s="51">
        <v>1</v>
      </c>
      <c r="H90" s="72">
        <f>'TABLA GENERAL'!D292</f>
        <v>43500</v>
      </c>
      <c r="I90" s="114">
        <f t="shared" si="13"/>
        <v>43500</v>
      </c>
      <c r="J90" s="51">
        <v>1</v>
      </c>
      <c r="K90" s="60">
        <f t="shared" si="14"/>
        <v>43500</v>
      </c>
    </row>
    <row r="91" spans="1:12" ht="17.25" thickBot="1" x14ac:dyDescent="0.3">
      <c r="A91" s="112"/>
      <c r="B91" s="112"/>
      <c r="C91" s="112"/>
      <c r="D91" s="112"/>
      <c r="E91" s="112"/>
      <c r="F91" s="112" t="s">
        <v>588</v>
      </c>
      <c r="G91" s="112"/>
      <c r="H91" s="112"/>
      <c r="I91" s="118">
        <f>SUM(I88:I90)</f>
        <v>58078</v>
      </c>
      <c r="J91" s="112"/>
      <c r="K91" s="119">
        <f>SUM(K88:K90)</f>
        <v>58078</v>
      </c>
      <c r="L91" s="14">
        <f>+K88+K89+K90</f>
        <v>58078</v>
      </c>
    </row>
    <row r="93" spans="1:12" ht="15.75" thickBot="1" x14ac:dyDescent="0.3"/>
    <row r="94" spans="1:12" ht="19.5" thickBot="1" x14ac:dyDescent="0.35">
      <c r="A94" s="132"/>
      <c r="B94" s="132"/>
      <c r="C94" s="132"/>
      <c r="D94" s="132"/>
      <c r="E94" s="132"/>
      <c r="F94" s="592"/>
      <c r="G94" s="593"/>
      <c r="H94" s="593"/>
      <c r="I94" s="594"/>
      <c r="J94" s="592" t="s">
        <v>225</v>
      </c>
      <c r="K94" s="593"/>
    </row>
    <row r="95" spans="1:12" ht="60" customHeight="1" thickBot="1" x14ac:dyDescent="0.3">
      <c r="A95" s="586" t="s">
        <v>589</v>
      </c>
      <c r="B95" s="587"/>
      <c r="C95" s="587"/>
      <c r="D95" s="587"/>
      <c r="E95" s="587"/>
      <c r="F95" s="588"/>
      <c r="G95" s="592" t="s">
        <v>230</v>
      </c>
      <c r="H95" s="593"/>
      <c r="I95" s="594"/>
      <c r="J95" s="595">
        <v>2021</v>
      </c>
      <c r="K95" s="596"/>
    </row>
    <row r="96" spans="1:12" ht="33" customHeight="1" thickBot="1" x14ac:dyDescent="0.3">
      <c r="A96" s="589"/>
      <c r="B96" s="590"/>
      <c r="C96" s="590"/>
      <c r="D96" s="590"/>
      <c r="E96" s="590"/>
      <c r="F96" s="591"/>
      <c r="G96" s="599" t="e">
        <f>(#REF!+#REF!+#REF!+#REF!+#REF!+#REF!+#REF!+#REF!+#REF!+#REF!+#REF!+#REF!)</f>
        <v>#REF!</v>
      </c>
      <c r="H96" s="600"/>
      <c r="I96" s="133"/>
      <c r="J96" s="599">
        <v>2550000</v>
      </c>
      <c r="K96" s="601"/>
      <c r="L96" s="14">
        <f>L91+L81+L74+L67+L53+L47+L38+L28</f>
        <v>847159</v>
      </c>
    </row>
    <row r="97" spans="9:12" x14ac:dyDescent="0.25">
      <c r="I97"/>
      <c r="K97" s="14" t="e">
        <f>K91+#REF!+#REF!+#REF!+K81+K74+#REF!+K67+K53+K47+K38+K28</f>
        <v>#REF!</v>
      </c>
      <c r="L97" s="14">
        <f>L96-J96</f>
        <v>-1702841</v>
      </c>
    </row>
    <row r="98" spans="9:12" x14ac:dyDescent="0.25">
      <c r="I98"/>
      <c r="K98" s="14" t="e">
        <f>J96-K97</f>
        <v>#REF!</v>
      </c>
    </row>
    <row r="100" spans="9:12" x14ac:dyDescent="0.25">
      <c r="I100"/>
    </row>
  </sheetData>
  <mergeCells count="45">
    <mergeCell ref="G96:H96"/>
    <mergeCell ref="J96:K96"/>
    <mergeCell ref="F94:I94"/>
    <mergeCell ref="J94:K94"/>
    <mergeCell ref="A95:F96"/>
    <mergeCell ref="G95:I95"/>
    <mergeCell ref="J95:K95"/>
    <mergeCell ref="B86:E86"/>
    <mergeCell ref="F86:K86"/>
    <mergeCell ref="B87:D90"/>
    <mergeCell ref="A88:A90"/>
    <mergeCell ref="B78:D80"/>
    <mergeCell ref="A79:A80"/>
    <mergeCell ref="F70:K70"/>
    <mergeCell ref="B71:D73"/>
    <mergeCell ref="A72:A73"/>
    <mergeCell ref="F77:K77"/>
    <mergeCell ref="B56:D65"/>
    <mergeCell ref="A57:A66"/>
    <mergeCell ref="C52:D52"/>
    <mergeCell ref="F55:K55"/>
    <mergeCell ref="A43:A46"/>
    <mergeCell ref="B43:B46"/>
    <mergeCell ref="C43:D45"/>
    <mergeCell ref="C46:D46"/>
    <mergeCell ref="F50:K50"/>
    <mergeCell ref="C37:D37"/>
    <mergeCell ref="F41:K41"/>
    <mergeCell ref="D23:D25"/>
    <mergeCell ref="C26:D27"/>
    <mergeCell ref="F31:K31"/>
    <mergeCell ref="A5:A27"/>
    <mergeCell ref="B5:B28"/>
    <mergeCell ref="C5:C14"/>
    <mergeCell ref="D5:D9"/>
    <mergeCell ref="D10:D14"/>
    <mergeCell ref="C15:C25"/>
    <mergeCell ref="D15:D18"/>
    <mergeCell ref="D19:D20"/>
    <mergeCell ref="D21:D22"/>
    <mergeCell ref="B1:K1"/>
    <mergeCell ref="J2:K2"/>
    <mergeCell ref="J3:K3"/>
    <mergeCell ref="B32:B36"/>
    <mergeCell ref="C33:D3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"/>
  <sheetViews>
    <sheetView topLeftCell="B13" workbookViewId="0">
      <selection activeCell="M34" sqref="M34"/>
    </sheetView>
  </sheetViews>
  <sheetFormatPr baseColWidth="10" defaultRowHeight="15" x14ac:dyDescent="0.25"/>
  <cols>
    <col min="1" max="1" width="15.7109375" customWidth="1"/>
    <col min="2" max="2" width="8.28515625" customWidth="1"/>
    <col min="3" max="3" width="19" customWidth="1"/>
    <col min="4" max="4" width="30" customWidth="1"/>
    <col min="5" max="5" width="7.7109375" customWidth="1"/>
    <col min="6" max="6" width="51.5703125" customWidth="1"/>
    <col min="7" max="7" width="18.7109375" customWidth="1"/>
    <col min="8" max="8" width="16.7109375" customWidth="1"/>
    <col min="9" max="9" width="18.28515625" style="111" hidden="1" customWidth="1"/>
    <col min="10" max="10" width="9.28515625" hidden="1" customWidth="1"/>
    <col min="11" max="11" width="18.28515625" hidden="1" customWidth="1"/>
    <col min="12" max="12" width="11.42578125" customWidth="1"/>
    <col min="13" max="13" width="18.28515625" customWidth="1"/>
    <col min="14" max="14" width="12" bestFit="1" customWidth="1"/>
  </cols>
  <sheetData>
    <row r="1" spans="1:13" ht="14.45" x14ac:dyDescent="0.3">
      <c r="I1"/>
    </row>
    <row r="3" spans="1:13" thickBot="1" x14ac:dyDescent="0.35">
      <c r="B3" s="195"/>
      <c r="C3" s="195"/>
      <c r="D3" s="195"/>
      <c r="E3" s="195"/>
      <c r="F3" s="195"/>
      <c r="G3" s="195"/>
      <c r="H3" s="195"/>
      <c r="I3" s="282"/>
    </row>
    <row r="4" spans="1:13" ht="28.15" thickBot="1" x14ac:dyDescent="0.35">
      <c r="A4" s="314" t="s">
        <v>228</v>
      </c>
      <c r="B4" s="314"/>
      <c r="C4" s="112"/>
      <c r="D4" s="314"/>
      <c r="E4" s="314"/>
      <c r="F4" s="314" t="s">
        <v>85</v>
      </c>
      <c r="G4" s="314" t="s">
        <v>229</v>
      </c>
      <c r="H4" s="314" t="s">
        <v>123</v>
      </c>
      <c r="I4" s="113" t="s">
        <v>230</v>
      </c>
      <c r="J4" s="314">
        <v>2021</v>
      </c>
      <c r="K4" s="314" t="s">
        <v>79</v>
      </c>
      <c r="L4" s="314">
        <v>2022</v>
      </c>
      <c r="M4" s="314" t="s">
        <v>79</v>
      </c>
    </row>
    <row r="5" spans="1:13" ht="30.75" thickBot="1" x14ac:dyDescent="0.3">
      <c r="A5" s="550" t="s">
        <v>224</v>
      </c>
      <c r="B5" s="551" t="s">
        <v>231</v>
      </c>
      <c r="C5" s="550" t="s">
        <v>232</v>
      </c>
      <c r="D5" s="550" t="s">
        <v>233</v>
      </c>
      <c r="E5" s="47" t="s">
        <v>234</v>
      </c>
      <c r="F5" s="48" t="s">
        <v>235</v>
      </c>
      <c r="G5" s="47">
        <v>2</v>
      </c>
      <c r="H5" s="72">
        <f>'TABLA GENERAL'!D3</f>
        <v>35321</v>
      </c>
      <c r="I5" s="114">
        <v>70642</v>
      </c>
      <c r="J5" s="47">
        <v>0</v>
      </c>
      <c r="K5" s="60">
        <f>J5*H5</f>
        <v>0</v>
      </c>
      <c r="L5" s="47">
        <v>1</v>
      </c>
      <c r="M5" s="60">
        <f>L5*H5</f>
        <v>35321</v>
      </c>
    </row>
    <row r="6" spans="1:13" ht="15.75" thickBot="1" x14ac:dyDescent="0.3">
      <c r="A6" s="551"/>
      <c r="B6" s="551"/>
      <c r="C6" s="551"/>
      <c r="D6" s="551"/>
      <c r="E6" s="47" t="s">
        <v>236</v>
      </c>
      <c r="F6" s="32" t="s">
        <v>237</v>
      </c>
      <c r="G6" s="15">
        <v>2</v>
      </c>
      <c r="H6" s="59">
        <f>'TABLA GENERAL'!D4</f>
        <v>17579</v>
      </c>
      <c r="I6" s="115">
        <v>35158</v>
      </c>
      <c r="J6" s="15">
        <v>0</v>
      </c>
      <c r="K6" s="60">
        <f t="shared" ref="K6:K22" si="0">J6*H6</f>
        <v>0</v>
      </c>
      <c r="L6" s="15">
        <v>1</v>
      </c>
      <c r="M6" s="60">
        <f t="shared" ref="M6:M22" si="1">L6*H6</f>
        <v>17579</v>
      </c>
    </row>
    <row r="7" spans="1:13" ht="15.75" thickBot="1" x14ac:dyDescent="0.3">
      <c r="A7" s="551"/>
      <c r="B7" s="551"/>
      <c r="C7" s="551"/>
      <c r="D7" s="551"/>
      <c r="E7" s="47" t="s">
        <v>238</v>
      </c>
      <c r="F7" s="32" t="s">
        <v>239</v>
      </c>
      <c r="G7" s="15">
        <v>2</v>
      </c>
      <c r="H7" s="59">
        <f>'TABLA GENERAL'!D5</f>
        <v>24779</v>
      </c>
      <c r="I7" s="115">
        <v>49558</v>
      </c>
      <c r="J7" s="15">
        <v>0</v>
      </c>
      <c r="K7" s="60">
        <f t="shared" si="0"/>
        <v>0</v>
      </c>
      <c r="L7" s="15">
        <v>1</v>
      </c>
      <c r="M7" s="60">
        <f t="shared" si="1"/>
        <v>24779</v>
      </c>
    </row>
    <row r="8" spans="1:13" ht="15.75" thickBot="1" x14ac:dyDescent="0.3">
      <c r="A8" s="551"/>
      <c r="B8" s="551"/>
      <c r="C8" s="551"/>
      <c r="D8" s="551"/>
      <c r="E8" s="47" t="s">
        <v>240</v>
      </c>
      <c r="F8" s="32" t="s">
        <v>241</v>
      </c>
      <c r="G8" s="15">
        <v>2</v>
      </c>
      <c r="H8" s="59">
        <f>'TABLA GENERAL'!D6</f>
        <v>22458</v>
      </c>
      <c r="I8" s="115">
        <v>44916</v>
      </c>
      <c r="J8" s="15">
        <v>0</v>
      </c>
      <c r="K8" s="60">
        <f t="shared" si="0"/>
        <v>0</v>
      </c>
      <c r="L8" s="15">
        <v>1</v>
      </c>
      <c r="M8" s="60">
        <f t="shared" si="1"/>
        <v>22458</v>
      </c>
    </row>
    <row r="9" spans="1:13" ht="30.75" thickBot="1" x14ac:dyDescent="0.3">
      <c r="A9" s="551"/>
      <c r="B9" s="551"/>
      <c r="C9" s="551"/>
      <c r="D9" s="551"/>
      <c r="E9" s="47" t="s">
        <v>242</v>
      </c>
      <c r="F9" s="32" t="s">
        <v>243</v>
      </c>
      <c r="G9" s="15">
        <v>2</v>
      </c>
      <c r="H9" s="59">
        <f>'TABLA GENERAL'!D7</f>
        <v>63048</v>
      </c>
      <c r="I9" s="115">
        <v>126096</v>
      </c>
      <c r="J9" s="15">
        <v>0</v>
      </c>
      <c r="K9" s="60">
        <f t="shared" si="0"/>
        <v>0</v>
      </c>
      <c r="L9" s="15">
        <v>1</v>
      </c>
      <c r="M9" s="60">
        <f t="shared" si="1"/>
        <v>63048</v>
      </c>
    </row>
    <row r="10" spans="1:13" ht="30.75" thickBot="1" x14ac:dyDescent="0.3">
      <c r="A10" s="551"/>
      <c r="B10" s="551"/>
      <c r="C10" s="551"/>
      <c r="D10" s="551"/>
      <c r="E10" s="47" t="s">
        <v>244</v>
      </c>
      <c r="F10" s="32" t="s">
        <v>245</v>
      </c>
      <c r="G10" s="15">
        <v>2</v>
      </c>
      <c r="H10" s="59">
        <f>'TABLA GENERAL'!D8</f>
        <v>81814</v>
      </c>
      <c r="I10" s="115">
        <v>163628</v>
      </c>
      <c r="J10" s="15">
        <v>0</v>
      </c>
      <c r="K10" s="60">
        <f t="shared" si="0"/>
        <v>0</v>
      </c>
      <c r="L10" s="15">
        <v>1</v>
      </c>
      <c r="M10" s="60">
        <f t="shared" si="1"/>
        <v>81814</v>
      </c>
    </row>
    <row r="11" spans="1:13" ht="15.75" thickBot="1" x14ac:dyDescent="0.3">
      <c r="A11" s="551"/>
      <c r="B11" s="551"/>
      <c r="C11" s="551"/>
      <c r="D11" s="551"/>
      <c r="E11" s="47" t="s">
        <v>248</v>
      </c>
      <c r="F11" s="32" t="s">
        <v>249</v>
      </c>
      <c r="G11" s="15">
        <v>16</v>
      </c>
      <c r="H11" s="59">
        <f>'TABLA GENERAL'!D10</f>
        <v>6243</v>
      </c>
      <c r="I11" s="115">
        <v>99888</v>
      </c>
      <c r="J11" s="15">
        <v>10</v>
      </c>
      <c r="K11" s="60">
        <f t="shared" si="0"/>
        <v>62430</v>
      </c>
      <c r="L11" s="15">
        <v>2</v>
      </c>
      <c r="M11" s="60">
        <f t="shared" si="1"/>
        <v>12486</v>
      </c>
    </row>
    <row r="12" spans="1:13" ht="15.75" thickBot="1" x14ac:dyDescent="0.3">
      <c r="A12" s="551"/>
      <c r="B12" s="551"/>
      <c r="C12" s="551"/>
      <c r="D12" s="550" t="s">
        <v>256</v>
      </c>
      <c r="E12" s="47" t="s">
        <v>257</v>
      </c>
      <c r="F12" s="32" t="s">
        <v>258</v>
      </c>
      <c r="G12" s="15">
        <v>2</v>
      </c>
      <c r="H12" s="59">
        <f>'TABLA GENERAL'!D19</f>
        <v>27984</v>
      </c>
      <c r="I12" s="115">
        <v>55968</v>
      </c>
      <c r="J12" s="15">
        <v>0</v>
      </c>
      <c r="K12" s="60">
        <f t="shared" si="0"/>
        <v>0</v>
      </c>
      <c r="L12" s="15">
        <v>1</v>
      </c>
      <c r="M12" s="60">
        <f t="shared" si="1"/>
        <v>27984</v>
      </c>
    </row>
    <row r="13" spans="1:13" ht="15.75" thickBot="1" x14ac:dyDescent="0.3">
      <c r="A13" s="551"/>
      <c r="B13" s="551"/>
      <c r="C13" s="551"/>
      <c r="D13" s="551"/>
      <c r="E13" s="47" t="s">
        <v>263</v>
      </c>
      <c r="F13" s="32" t="s">
        <v>264</v>
      </c>
      <c r="G13" s="15">
        <v>1</v>
      </c>
      <c r="H13" s="59">
        <f>'TABLA GENERAL'!D22</f>
        <v>44356</v>
      </c>
      <c r="I13" s="115">
        <v>44356</v>
      </c>
      <c r="J13" s="15">
        <v>0</v>
      </c>
      <c r="K13" s="60">
        <f t="shared" si="0"/>
        <v>0</v>
      </c>
      <c r="L13" s="15">
        <v>1</v>
      </c>
      <c r="M13" s="60">
        <f t="shared" si="1"/>
        <v>44356</v>
      </c>
    </row>
    <row r="14" spans="1:13" ht="15.75" thickBot="1" x14ac:dyDescent="0.3">
      <c r="A14" s="551"/>
      <c r="B14" s="551"/>
      <c r="C14" s="551"/>
      <c r="D14" s="551"/>
      <c r="E14" s="47" t="s">
        <v>265</v>
      </c>
      <c r="F14" s="32" t="s">
        <v>266</v>
      </c>
      <c r="G14" s="15">
        <v>36</v>
      </c>
      <c r="H14" s="59">
        <f>'TABLA GENERAL'!D23</f>
        <v>107</v>
      </c>
      <c r="I14" s="115">
        <v>3852</v>
      </c>
      <c r="J14" s="15">
        <v>10</v>
      </c>
      <c r="K14" s="60">
        <f t="shared" si="0"/>
        <v>1070</v>
      </c>
      <c r="L14" s="15">
        <v>2</v>
      </c>
      <c r="M14" s="60">
        <f t="shared" si="1"/>
        <v>214</v>
      </c>
    </row>
    <row r="15" spans="1:13" ht="15.75" thickBot="1" x14ac:dyDescent="0.3">
      <c r="A15" s="551"/>
      <c r="B15" s="551"/>
      <c r="C15" s="552"/>
      <c r="D15" s="552"/>
      <c r="E15" s="47" t="s">
        <v>267</v>
      </c>
      <c r="F15" s="32" t="s">
        <v>269</v>
      </c>
      <c r="G15" s="15">
        <v>2</v>
      </c>
      <c r="H15" s="59">
        <f>'TABLA GENERAL'!D25</f>
        <v>312143</v>
      </c>
      <c r="I15" s="115">
        <v>624286</v>
      </c>
      <c r="J15" s="15">
        <v>1</v>
      </c>
      <c r="K15" s="60">
        <f t="shared" si="0"/>
        <v>312143</v>
      </c>
      <c r="L15" s="15">
        <v>1</v>
      </c>
      <c r="M15" s="60">
        <f t="shared" si="1"/>
        <v>312143</v>
      </c>
    </row>
    <row r="16" spans="1:13" ht="15.75" thickBot="1" x14ac:dyDescent="0.3">
      <c r="A16" s="551"/>
      <c r="B16" s="551"/>
      <c r="C16" s="551"/>
      <c r="D16" s="653"/>
      <c r="E16" s="47" t="s">
        <v>274</v>
      </c>
      <c r="F16" s="257" t="s">
        <v>275</v>
      </c>
      <c r="G16" s="15">
        <v>11</v>
      </c>
      <c r="H16" s="59">
        <f>'TABLA GENERAL'!D28</f>
        <v>47779</v>
      </c>
      <c r="I16" s="115">
        <v>525569</v>
      </c>
      <c r="J16" s="15">
        <v>2</v>
      </c>
      <c r="K16" s="60">
        <f t="shared" si="0"/>
        <v>95558</v>
      </c>
      <c r="L16" s="15">
        <v>7</v>
      </c>
      <c r="M16" s="60">
        <f t="shared" si="1"/>
        <v>334453</v>
      </c>
    </row>
    <row r="17" spans="1:13" ht="15.75" thickBot="1" x14ac:dyDescent="0.3">
      <c r="A17" s="551"/>
      <c r="B17" s="551"/>
      <c r="C17" s="551"/>
      <c r="D17" s="653"/>
      <c r="E17" s="47" t="s">
        <v>276</v>
      </c>
      <c r="F17" s="32" t="s">
        <v>277</v>
      </c>
      <c r="G17" s="15">
        <v>4</v>
      </c>
      <c r="H17" s="59">
        <f>'TABLA GENERAL'!D29</f>
        <v>40845</v>
      </c>
      <c r="I17" s="115">
        <v>163380</v>
      </c>
      <c r="J17" s="15">
        <v>0</v>
      </c>
      <c r="K17" s="60">
        <f t="shared" si="0"/>
        <v>0</v>
      </c>
      <c r="L17" s="15">
        <v>4</v>
      </c>
      <c r="M17" s="60">
        <f t="shared" si="1"/>
        <v>163380</v>
      </c>
    </row>
    <row r="18" spans="1:13" ht="15.75" customHeight="1" thickBot="1" x14ac:dyDescent="0.3">
      <c r="A18" s="551"/>
      <c r="B18" s="551"/>
      <c r="C18" s="552"/>
      <c r="D18" s="311"/>
      <c r="E18" s="47" t="s">
        <v>295</v>
      </c>
      <c r="F18" s="32" t="s">
        <v>296</v>
      </c>
      <c r="G18" s="15">
        <v>10</v>
      </c>
      <c r="H18" s="59">
        <f>'TABLA GENERAL'!D41</f>
        <v>44012</v>
      </c>
      <c r="I18" s="115">
        <v>440120</v>
      </c>
      <c r="J18" s="15">
        <v>1</v>
      </c>
      <c r="K18" s="60">
        <f t="shared" si="0"/>
        <v>44012</v>
      </c>
      <c r="L18" s="15">
        <v>2</v>
      </c>
      <c r="M18" s="60">
        <f t="shared" si="1"/>
        <v>88024</v>
      </c>
    </row>
    <row r="19" spans="1:13" ht="15.75" thickBot="1" x14ac:dyDescent="0.3">
      <c r="A19" s="551"/>
      <c r="B19" s="551"/>
      <c r="C19" s="640" t="s">
        <v>297</v>
      </c>
      <c r="D19" s="641"/>
      <c r="E19" s="47" t="s">
        <v>298</v>
      </c>
      <c r="F19" s="32" t="s">
        <v>299</v>
      </c>
      <c r="G19" s="15">
        <v>2</v>
      </c>
      <c r="H19" s="59">
        <f>'TABLA GENERAL'!D42</f>
        <v>25629</v>
      </c>
      <c r="I19" s="115">
        <v>51258</v>
      </c>
      <c r="J19" s="15">
        <v>0</v>
      </c>
      <c r="K19" s="60">
        <f t="shared" si="0"/>
        <v>0</v>
      </c>
      <c r="L19" s="15">
        <v>1</v>
      </c>
      <c r="M19" s="60">
        <f t="shared" si="1"/>
        <v>25629</v>
      </c>
    </row>
    <row r="20" spans="1:13" ht="15.75" thickBot="1" x14ac:dyDescent="0.3">
      <c r="A20" s="551"/>
      <c r="B20" s="551"/>
      <c r="C20" s="642"/>
      <c r="D20" s="643"/>
      <c r="E20" s="47" t="s">
        <v>302</v>
      </c>
      <c r="F20" s="32" t="s">
        <v>303</v>
      </c>
      <c r="G20" s="15">
        <v>2</v>
      </c>
      <c r="H20" s="59">
        <f>'TABLA GENERAL'!D46</f>
        <v>71054</v>
      </c>
      <c r="I20" s="115">
        <v>142108</v>
      </c>
      <c r="J20" s="15">
        <v>0</v>
      </c>
      <c r="K20" s="60">
        <f t="shared" si="0"/>
        <v>0</v>
      </c>
      <c r="L20" s="15">
        <v>1</v>
      </c>
      <c r="M20" s="60">
        <f t="shared" si="1"/>
        <v>71054</v>
      </c>
    </row>
    <row r="21" spans="1:13" ht="15.75" thickBot="1" x14ac:dyDescent="0.3">
      <c r="A21" s="551"/>
      <c r="B21" s="551"/>
      <c r="C21" s="642"/>
      <c r="D21" s="643"/>
      <c r="E21" s="47" t="s">
        <v>304</v>
      </c>
      <c r="F21" s="32" t="s">
        <v>305</v>
      </c>
      <c r="G21" s="15">
        <v>2</v>
      </c>
      <c r="H21" s="59">
        <f>'TABLA GENERAL'!D47</f>
        <v>80516</v>
      </c>
      <c r="I21" s="115">
        <v>161032</v>
      </c>
      <c r="J21" s="15">
        <v>0</v>
      </c>
      <c r="K21" s="60">
        <f t="shared" si="0"/>
        <v>0</v>
      </c>
      <c r="L21" s="15">
        <v>1</v>
      </c>
      <c r="M21" s="60">
        <f t="shared" si="1"/>
        <v>80516</v>
      </c>
    </row>
    <row r="22" spans="1:13" ht="15.75" thickBot="1" x14ac:dyDescent="0.3">
      <c r="A22" s="552"/>
      <c r="B22" s="551"/>
      <c r="C22" s="644"/>
      <c r="D22" s="645"/>
      <c r="E22" s="47" t="s">
        <v>306</v>
      </c>
      <c r="F22" s="57" t="s">
        <v>307</v>
      </c>
      <c r="G22" s="51">
        <v>1</v>
      </c>
      <c r="H22" s="71">
        <f>'TABLA GENERAL'!D48</f>
        <v>670956</v>
      </c>
      <c r="I22" s="116">
        <v>670956</v>
      </c>
      <c r="J22" s="51">
        <f>0.25+0.1</f>
        <v>0.35</v>
      </c>
      <c r="K22" s="60">
        <f t="shared" si="0"/>
        <v>234834.59999999998</v>
      </c>
      <c r="L22" s="51">
        <v>0.3</v>
      </c>
      <c r="M22" s="60">
        <f t="shared" si="1"/>
        <v>201286.8</v>
      </c>
    </row>
    <row r="23" spans="1:13" ht="17.25" thickBot="1" x14ac:dyDescent="0.3">
      <c r="A23" s="112"/>
      <c r="B23" s="552"/>
      <c r="C23" s="308"/>
      <c r="D23" s="112"/>
      <c r="E23" s="112"/>
      <c r="F23" s="112" t="s">
        <v>308</v>
      </c>
      <c r="G23" s="112"/>
      <c r="H23" s="112"/>
      <c r="I23" s="118">
        <f>SUM(I5:I22)</f>
        <v>3472771</v>
      </c>
      <c r="J23" s="112"/>
      <c r="K23" s="119">
        <f>SUM(K5:K22)</f>
        <v>750047.6</v>
      </c>
      <c r="L23" s="112"/>
      <c r="M23" s="119">
        <f>SUM(M5:M22)</f>
        <v>1606524.8</v>
      </c>
    </row>
    <row r="26" spans="1:13" thickBot="1" x14ac:dyDescent="0.35">
      <c r="B26" s="195"/>
      <c r="C26" s="195"/>
      <c r="D26" s="195"/>
      <c r="E26" s="195"/>
      <c r="I26"/>
    </row>
    <row r="27" spans="1:13" ht="33.75" thickBot="1" x14ac:dyDescent="0.3">
      <c r="A27" s="314" t="s">
        <v>228</v>
      </c>
      <c r="B27" s="550" t="s">
        <v>310</v>
      </c>
      <c r="C27" s="121"/>
      <c r="D27" s="122"/>
      <c r="E27" s="314"/>
      <c r="F27" s="112" t="s">
        <v>85</v>
      </c>
      <c r="G27" s="314" t="s">
        <v>229</v>
      </c>
      <c r="H27" s="314" t="s">
        <v>123</v>
      </c>
      <c r="I27" s="113" t="s">
        <v>230</v>
      </c>
      <c r="J27" s="314">
        <v>2021</v>
      </c>
      <c r="K27" s="314" t="s">
        <v>79</v>
      </c>
      <c r="L27" s="314">
        <v>2022</v>
      </c>
      <c r="M27" s="314" t="s">
        <v>79</v>
      </c>
    </row>
    <row r="28" spans="1:13" ht="15.75" thickBot="1" x14ac:dyDescent="0.3">
      <c r="A28" s="279"/>
      <c r="B28" s="551"/>
      <c r="C28" s="646"/>
      <c r="D28" s="647"/>
      <c r="E28" s="47" t="s">
        <v>314</v>
      </c>
      <c r="F28" s="32" t="s">
        <v>315</v>
      </c>
      <c r="G28" s="15">
        <v>84</v>
      </c>
      <c r="H28" s="59">
        <f>'TABLA GENERAL'!D57</f>
        <v>2300</v>
      </c>
      <c r="I28" s="115">
        <f t="shared" ref="I28:I30" si="2">G28*H28</f>
        <v>193200</v>
      </c>
      <c r="J28" s="15">
        <v>12</v>
      </c>
      <c r="K28" s="60">
        <f t="shared" ref="K28:K30" si="3">J28*H28</f>
        <v>27600</v>
      </c>
      <c r="L28" s="15">
        <v>12</v>
      </c>
      <c r="M28" s="60">
        <f t="shared" ref="M28:M30" si="4">L28*H28</f>
        <v>27600</v>
      </c>
    </row>
    <row r="29" spans="1:13" ht="15.75" thickBot="1" x14ac:dyDescent="0.3">
      <c r="A29" s="279"/>
      <c r="B29" s="551"/>
      <c r="C29" s="646"/>
      <c r="D29" s="647"/>
      <c r="E29" s="47" t="s">
        <v>94</v>
      </c>
      <c r="F29" s="32" t="s">
        <v>93</v>
      </c>
      <c r="G29" s="15">
        <v>125</v>
      </c>
      <c r="H29" s="59">
        <f>'TABLA GENERAL'!D58</f>
        <v>1690</v>
      </c>
      <c r="I29" s="115">
        <f t="shared" si="2"/>
        <v>211250</v>
      </c>
      <c r="J29" s="15">
        <v>14</v>
      </c>
      <c r="K29" s="60">
        <f t="shared" si="3"/>
        <v>23660</v>
      </c>
      <c r="L29" s="15">
        <v>12</v>
      </c>
      <c r="M29" s="60">
        <f t="shared" si="4"/>
        <v>20280</v>
      </c>
    </row>
    <row r="30" spans="1:13" ht="15.75" thickBot="1" x14ac:dyDescent="0.3">
      <c r="A30" s="279"/>
      <c r="B30" s="551"/>
      <c r="C30" s="646"/>
      <c r="D30" s="647"/>
      <c r="E30" s="47" t="s">
        <v>92</v>
      </c>
      <c r="F30" s="32" t="s">
        <v>91</v>
      </c>
      <c r="G30" s="15">
        <v>140</v>
      </c>
      <c r="H30" s="59">
        <f>'TABLA GENERAL'!D59</f>
        <v>13300</v>
      </c>
      <c r="I30" s="115">
        <f t="shared" si="2"/>
        <v>1862000</v>
      </c>
      <c r="J30" s="15">
        <v>12</v>
      </c>
      <c r="K30" s="60">
        <f t="shared" si="3"/>
        <v>159600</v>
      </c>
      <c r="L30" s="15">
        <v>12</v>
      </c>
      <c r="M30" s="60">
        <f t="shared" si="4"/>
        <v>159600</v>
      </c>
    </row>
    <row r="31" spans="1:13" ht="15.75" thickBot="1" x14ac:dyDescent="0.3">
      <c r="A31" s="279"/>
      <c r="B31" s="551"/>
      <c r="C31" s="629"/>
      <c r="D31" s="638"/>
      <c r="E31" s="56" t="s">
        <v>447</v>
      </c>
      <c r="F31" s="32" t="s">
        <v>448</v>
      </c>
      <c r="G31" s="15">
        <v>9</v>
      </c>
      <c r="H31" s="59">
        <f>'TABLA GENERAL'!D136</f>
        <v>485</v>
      </c>
      <c r="I31" s="115">
        <f t="shared" ref="I31:I33" si="5">G31*H31</f>
        <v>4365</v>
      </c>
      <c r="J31" s="20">
        <v>0</v>
      </c>
      <c r="K31" s="60">
        <f t="shared" ref="K31:K34" si="6">J31*H31</f>
        <v>0</v>
      </c>
      <c r="L31" s="20">
        <v>1</v>
      </c>
      <c r="M31" s="60">
        <f t="shared" ref="M31:M34" si="7">L31*H31</f>
        <v>485</v>
      </c>
    </row>
    <row r="32" spans="1:13" ht="15.75" thickBot="1" x14ac:dyDescent="0.3">
      <c r="A32" s="279"/>
      <c r="B32" s="551"/>
      <c r="C32" s="629"/>
      <c r="D32" s="638"/>
      <c r="E32" s="56" t="s">
        <v>69</v>
      </c>
      <c r="F32" s="32" t="s">
        <v>68</v>
      </c>
      <c r="G32" s="15">
        <v>83</v>
      </c>
      <c r="H32" s="59">
        <f>'TABLA GENERAL'!D137</f>
        <v>3800</v>
      </c>
      <c r="I32" s="115">
        <f t="shared" si="5"/>
        <v>315400</v>
      </c>
      <c r="J32" s="20">
        <v>0</v>
      </c>
      <c r="K32" s="60">
        <f t="shared" si="6"/>
        <v>0</v>
      </c>
      <c r="L32" s="20">
        <v>14</v>
      </c>
      <c r="M32" s="60">
        <f t="shared" si="7"/>
        <v>53200</v>
      </c>
    </row>
    <row r="33" spans="1:13" ht="15.75" thickBot="1" x14ac:dyDescent="0.3">
      <c r="A33" s="279"/>
      <c r="B33" s="551"/>
      <c r="C33" s="629"/>
      <c r="D33" s="638"/>
      <c r="E33" s="56" t="s">
        <v>449</v>
      </c>
      <c r="F33" s="32" t="s">
        <v>450</v>
      </c>
      <c r="G33" s="15">
        <v>7</v>
      </c>
      <c r="H33" s="59">
        <f>'TABLA GENERAL'!D138</f>
        <v>1246</v>
      </c>
      <c r="I33" s="115">
        <f t="shared" si="5"/>
        <v>8722</v>
      </c>
      <c r="J33" s="20">
        <v>0</v>
      </c>
      <c r="K33" s="60">
        <f t="shared" si="6"/>
        <v>0</v>
      </c>
      <c r="L33" s="20">
        <v>1</v>
      </c>
      <c r="M33" s="60">
        <f t="shared" si="7"/>
        <v>1246</v>
      </c>
    </row>
    <row r="34" spans="1:13" ht="15.75" thickBot="1" x14ac:dyDescent="0.3">
      <c r="A34" s="280"/>
      <c r="B34" s="280"/>
      <c r="C34" s="635"/>
      <c r="D34" s="308"/>
      <c r="E34" s="56" t="s">
        <v>65</v>
      </c>
      <c r="F34" s="32" t="s">
        <v>64</v>
      </c>
      <c r="G34" s="15">
        <v>4</v>
      </c>
      <c r="H34" s="59">
        <f>'TABLA GENERAL'!D149</f>
        <v>3250</v>
      </c>
      <c r="I34" s="115">
        <f>G34*H34</f>
        <v>13000</v>
      </c>
      <c r="J34" s="20">
        <v>0</v>
      </c>
      <c r="K34" s="60">
        <f t="shared" si="6"/>
        <v>0</v>
      </c>
      <c r="L34" s="20">
        <v>1</v>
      </c>
      <c r="M34" s="60">
        <f t="shared" si="7"/>
        <v>3250</v>
      </c>
    </row>
    <row r="35" spans="1:13" thickBot="1" x14ac:dyDescent="0.35">
      <c r="A35" s="112"/>
      <c r="B35" s="112"/>
      <c r="C35" s="112"/>
      <c r="D35" s="124"/>
      <c r="E35" s="112"/>
      <c r="F35" s="112" t="s">
        <v>472</v>
      </c>
      <c r="G35" s="112"/>
      <c r="H35" s="112"/>
      <c r="I35" s="118">
        <f>SUM(I28:I34)</f>
        <v>2607937</v>
      </c>
      <c r="J35" s="112"/>
      <c r="K35" s="119">
        <f>SUM(K28:K34)</f>
        <v>210860</v>
      </c>
      <c r="L35" s="112"/>
      <c r="M35" s="119">
        <f>SUM(M28:M34)</f>
        <v>265661</v>
      </c>
    </row>
    <row r="38" spans="1:13" ht="15.75" thickBot="1" x14ac:dyDescent="0.3">
      <c r="B38" s="195"/>
      <c r="C38" s="195"/>
      <c r="D38" s="195"/>
      <c r="E38" s="195"/>
      <c r="I38"/>
    </row>
    <row r="39" spans="1:13" ht="33.75" thickBot="1" x14ac:dyDescent="0.3">
      <c r="A39" s="314" t="s">
        <v>228</v>
      </c>
      <c r="B39" s="314"/>
      <c r="C39" s="314"/>
      <c r="D39" s="314"/>
      <c r="E39" s="314"/>
      <c r="F39" s="314" t="s">
        <v>85</v>
      </c>
      <c r="G39" s="314" t="s">
        <v>229</v>
      </c>
      <c r="H39" s="314" t="s">
        <v>123</v>
      </c>
      <c r="I39" s="113" t="s">
        <v>230</v>
      </c>
      <c r="J39" s="314">
        <v>2021</v>
      </c>
      <c r="K39" s="314" t="s">
        <v>79</v>
      </c>
      <c r="L39" s="314">
        <v>2022</v>
      </c>
      <c r="M39" s="314" t="s">
        <v>79</v>
      </c>
    </row>
    <row r="40" spans="1:13" ht="15.75" thickBot="1" x14ac:dyDescent="0.3">
      <c r="A40" s="558" t="s">
        <v>473</v>
      </c>
      <c r="B40" s="550" t="s">
        <v>474</v>
      </c>
      <c r="C40" s="627" t="s">
        <v>475</v>
      </c>
      <c r="D40" s="628"/>
      <c r="E40" s="56" t="s">
        <v>476</v>
      </c>
      <c r="F40" s="48" t="s">
        <v>477</v>
      </c>
      <c r="G40" s="47">
        <v>118</v>
      </c>
      <c r="H40" s="72">
        <f>'TABLA GENERAL'!D159</f>
        <v>260</v>
      </c>
      <c r="I40" s="114">
        <f>H40*G40</f>
        <v>30680</v>
      </c>
      <c r="J40" s="20">
        <v>0</v>
      </c>
      <c r="K40" s="60">
        <f>J40*H40</f>
        <v>0</v>
      </c>
      <c r="L40" s="20">
        <v>14</v>
      </c>
      <c r="M40" s="60">
        <f>L40*H40</f>
        <v>3640</v>
      </c>
    </row>
    <row r="41" spans="1:13" ht="15.75" thickBot="1" x14ac:dyDescent="0.3">
      <c r="A41" s="559" t="s">
        <v>473</v>
      </c>
      <c r="B41" s="551"/>
      <c r="C41" s="629"/>
      <c r="D41" s="630"/>
      <c r="E41" s="56" t="s">
        <v>478</v>
      </c>
      <c r="F41" s="32" t="s">
        <v>479</v>
      </c>
      <c r="G41" s="15">
        <v>92</v>
      </c>
      <c r="H41" s="72">
        <f>'TABLA GENERAL'!D160</f>
        <v>84</v>
      </c>
      <c r="I41" s="114">
        <f t="shared" ref="I41:I45" si="8">H41*G41</f>
        <v>7728</v>
      </c>
      <c r="J41" s="20">
        <v>0</v>
      </c>
      <c r="K41" s="60">
        <f t="shared" ref="K41:K45" si="9">J41*H41</f>
        <v>0</v>
      </c>
      <c r="L41" s="15">
        <v>14</v>
      </c>
      <c r="M41" s="60">
        <f>L41*H41</f>
        <v>1176</v>
      </c>
    </row>
    <row r="42" spans="1:13" ht="15.75" thickBot="1" x14ac:dyDescent="0.3">
      <c r="A42" s="559" t="s">
        <v>473</v>
      </c>
      <c r="B42" s="551"/>
      <c r="C42" s="629"/>
      <c r="D42" s="630"/>
      <c r="E42" s="56" t="s">
        <v>480</v>
      </c>
      <c r="F42" s="32" t="s">
        <v>481</v>
      </c>
      <c r="G42" s="15">
        <v>111</v>
      </c>
      <c r="H42" s="72">
        <f>'TABLA GENERAL'!D161</f>
        <v>29</v>
      </c>
      <c r="I42" s="114">
        <f t="shared" si="8"/>
        <v>3219</v>
      </c>
      <c r="J42" s="20">
        <v>0</v>
      </c>
      <c r="K42" s="60">
        <f t="shared" si="9"/>
        <v>0</v>
      </c>
      <c r="L42" s="15">
        <v>14</v>
      </c>
      <c r="M42" s="60">
        <f t="shared" ref="M42:M45" si="10">L42*H42</f>
        <v>406</v>
      </c>
    </row>
    <row r="43" spans="1:13" ht="30.75" thickBot="1" x14ac:dyDescent="0.3">
      <c r="A43" s="559" t="s">
        <v>473</v>
      </c>
      <c r="B43" s="551"/>
      <c r="C43" s="629"/>
      <c r="D43" s="630"/>
      <c r="E43" s="56" t="s">
        <v>120</v>
      </c>
      <c r="F43" s="32" t="s">
        <v>119</v>
      </c>
      <c r="G43" s="15">
        <v>68</v>
      </c>
      <c r="H43" s="72">
        <f>'TABLA GENERAL'!D167</f>
        <v>3202</v>
      </c>
      <c r="I43" s="114">
        <f t="shared" si="8"/>
        <v>217736</v>
      </c>
      <c r="J43" s="15">
        <v>14</v>
      </c>
      <c r="K43" s="60">
        <f>J43*H43</f>
        <v>44828</v>
      </c>
      <c r="L43" s="15">
        <v>14</v>
      </c>
      <c r="M43" s="60">
        <f t="shared" si="10"/>
        <v>44828</v>
      </c>
    </row>
    <row r="44" spans="1:13" ht="15.75" thickBot="1" x14ac:dyDescent="0.3">
      <c r="A44" s="559" t="s">
        <v>473</v>
      </c>
      <c r="B44" s="551"/>
      <c r="C44" s="629"/>
      <c r="D44" s="630"/>
      <c r="E44" s="56" t="s">
        <v>115</v>
      </c>
      <c r="F44" s="32" t="s">
        <v>114</v>
      </c>
      <c r="G44" s="15">
        <v>56</v>
      </c>
      <c r="H44" s="72">
        <f>'TABLA GENERAL'!D169</f>
        <v>3600</v>
      </c>
      <c r="I44" s="114">
        <f t="shared" si="8"/>
        <v>201600</v>
      </c>
      <c r="J44" s="15">
        <v>18</v>
      </c>
      <c r="K44" s="60">
        <f t="shared" si="9"/>
        <v>64800</v>
      </c>
      <c r="L44" s="15">
        <v>6</v>
      </c>
      <c r="M44" s="60">
        <f t="shared" si="10"/>
        <v>21600</v>
      </c>
    </row>
    <row r="45" spans="1:13" ht="15.75" thickBot="1" x14ac:dyDescent="0.3">
      <c r="A45" s="559" t="s">
        <v>473</v>
      </c>
      <c r="B45" s="551"/>
      <c r="C45" s="633" t="s">
        <v>511</v>
      </c>
      <c r="D45" s="634"/>
      <c r="E45" s="56" t="s">
        <v>512</v>
      </c>
      <c r="F45" s="32" t="s">
        <v>513</v>
      </c>
      <c r="G45" s="15">
        <v>20</v>
      </c>
      <c r="H45" s="59">
        <f>'TABLA GENERAL'!D186</f>
        <v>1200</v>
      </c>
      <c r="I45" s="114">
        <f t="shared" si="8"/>
        <v>24000</v>
      </c>
      <c r="J45" s="15">
        <v>1</v>
      </c>
      <c r="K45" s="60">
        <f t="shared" si="9"/>
        <v>1200</v>
      </c>
      <c r="L45" s="15">
        <v>1</v>
      </c>
      <c r="M45" s="60">
        <f t="shared" si="10"/>
        <v>1200</v>
      </c>
    </row>
    <row r="46" spans="1:13" ht="17.25" thickBot="1" x14ac:dyDescent="0.3">
      <c r="A46" s="112"/>
      <c r="B46" s="112"/>
      <c r="C46" s="112"/>
      <c r="D46" s="112"/>
      <c r="E46" s="112"/>
      <c r="F46" s="112" t="s">
        <v>516</v>
      </c>
      <c r="G46" s="112"/>
      <c r="H46" s="112"/>
      <c r="I46" s="118">
        <f>SUM(I40:I45)</f>
        <v>484963</v>
      </c>
      <c r="J46" s="112"/>
      <c r="K46" s="119">
        <f>SUM(K40:K45)</f>
        <v>110828</v>
      </c>
      <c r="L46" s="112"/>
      <c r="M46" s="119">
        <f>SUM(M40:M45)</f>
        <v>72850</v>
      </c>
    </row>
    <row r="49" spans="1:13" ht="15.75" thickBot="1" x14ac:dyDescent="0.3">
      <c r="B49" s="195"/>
      <c r="C49" s="195"/>
      <c r="D49" s="195"/>
      <c r="E49" s="195"/>
      <c r="I49"/>
    </row>
    <row r="50" spans="1:13" ht="33.75" thickBot="1" x14ac:dyDescent="0.3">
      <c r="A50" s="314" t="s">
        <v>228</v>
      </c>
      <c r="B50" s="314"/>
      <c r="C50" s="314"/>
      <c r="D50" s="314"/>
      <c r="E50" s="314"/>
      <c r="F50" s="314" t="s">
        <v>85</v>
      </c>
      <c r="G50" s="314" t="s">
        <v>229</v>
      </c>
      <c r="H50" s="314" t="s">
        <v>123</v>
      </c>
      <c r="I50" s="113" t="s">
        <v>230</v>
      </c>
      <c r="J50" s="314">
        <v>2021</v>
      </c>
      <c r="K50" s="314" t="s">
        <v>79</v>
      </c>
      <c r="L50" s="314">
        <v>2022</v>
      </c>
      <c r="M50" s="314" t="s">
        <v>79</v>
      </c>
    </row>
    <row r="51" spans="1:13" ht="45.75" thickBot="1" x14ac:dyDescent="0.3">
      <c r="A51" s="559" t="s">
        <v>517</v>
      </c>
      <c r="B51" s="551"/>
      <c r="C51" s="629"/>
      <c r="D51" s="630"/>
      <c r="E51" s="56" t="s">
        <v>128</v>
      </c>
      <c r="F51" s="32" t="s">
        <v>129</v>
      </c>
      <c r="G51" s="15">
        <v>2</v>
      </c>
      <c r="H51" s="59">
        <f>'TABLA GENERAL'!D199</f>
        <v>244998.75</v>
      </c>
      <c r="I51" s="114">
        <f t="shared" ref="I51:I55" si="11">+H51*G51</f>
        <v>489997.5</v>
      </c>
      <c r="J51" s="51">
        <v>0</v>
      </c>
      <c r="K51" s="60">
        <f t="shared" ref="K51:K55" si="12">J51*H51</f>
        <v>0</v>
      </c>
      <c r="L51" s="15">
        <v>1</v>
      </c>
      <c r="M51" s="60">
        <f t="shared" ref="M51:M55" si="13">L51*H51</f>
        <v>244998.75</v>
      </c>
    </row>
    <row r="52" spans="1:13" ht="30.75" thickBot="1" x14ac:dyDescent="0.3">
      <c r="A52" s="559" t="s">
        <v>517</v>
      </c>
      <c r="B52" s="551"/>
      <c r="C52" s="629"/>
      <c r="D52" s="630"/>
      <c r="E52" s="56" t="s">
        <v>132</v>
      </c>
      <c r="F52" s="32" t="s">
        <v>133</v>
      </c>
      <c r="G52" s="15">
        <v>4</v>
      </c>
      <c r="H52" s="59">
        <f>'TABLA GENERAL'!D201</f>
        <v>57249</v>
      </c>
      <c r="I52" s="114">
        <f t="shared" si="11"/>
        <v>228996</v>
      </c>
      <c r="J52" s="51">
        <v>0</v>
      </c>
      <c r="K52" s="60">
        <f t="shared" si="12"/>
        <v>0</v>
      </c>
      <c r="L52" s="15">
        <v>1</v>
      </c>
      <c r="M52" s="60">
        <f t="shared" si="13"/>
        <v>57249</v>
      </c>
    </row>
    <row r="53" spans="1:13" ht="30.75" thickBot="1" x14ac:dyDescent="0.3">
      <c r="A53" s="559" t="s">
        <v>517</v>
      </c>
      <c r="B53" s="551"/>
      <c r="C53" s="629"/>
      <c r="D53" s="630"/>
      <c r="E53" s="56" t="s">
        <v>524</v>
      </c>
      <c r="F53" s="32" t="s">
        <v>525</v>
      </c>
      <c r="G53" s="15">
        <v>8</v>
      </c>
      <c r="H53" s="59">
        <f>'TABLA GENERAL'!D204</f>
        <v>659.99</v>
      </c>
      <c r="I53" s="114">
        <f t="shared" si="11"/>
        <v>5279.92</v>
      </c>
      <c r="J53" s="51">
        <v>0</v>
      </c>
      <c r="K53" s="60">
        <f t="shared" si="12"/>
        <v>0</v>
      </c>
      <c r="L53" s="15">
        <v>2</v>
      </c>
      <c r="M53" s="60">
        <f t="shared" si="13"/>
        <v>1319.98</v>
      </c>
    </row>
    <row r="54" spans="1:13" ht="15.75" thickBot="1" x14ac:dyDescent="0.3">
      <c r="A54" s="559" t="s">
        <v>517</v>
      </c>
      <c r="B54" s="551"/>
      <c r="C54" s="631"/>
      <c r="D54" s="632"/>
      <c r="E54" s="56" t="s">
        <v>526</v>
      </c>
      <c r="F54" s="32" t="s">
        <v>527</v>
      </c>
      <c r="G54" s="15">
        <v>45</v>
      </c>
      <c r="H54" s="59">
        <f>'TABLA GENERAL'!D205</f>
        <v>2410.9</v>
      </c>
      <c r="I54" s="114">
        <f t="shared" si="11"/>
        <v>108490.5</v>
      </c>
      <c r="J54" s="51">
        <v>0</v>
      </c>
      <c r="K54" s="60">
        <f t="shared" si="12"/>
        <v>0</v>
      </c>
      <c r="L54" s="15">
        <v>2</v>
      </c>
      <c r="M54" s="60">
        <f t="shared" si="13"/>
        <v>4821.8</v>
      </c>
    </row>
    <row r="55" spans="1:13" ht="30.75" thickBot="1" x14ac:dyDescent="0.3">
      <c r="A55" s="559" t="s">
        <v>517</v>
      </c>
      <c r="B55" s="551"/>
      <c r="C55" s="629"/>
      <c r="D55" s="630"/>
      <c r="E55" s="56" t="s">
        <v>529</v>
      </c>
      <c r="F55" s="32" t="s">
        <v>530</v>
      </c>
      <c r="G55" s="15">
        <v>52</v>
      </c>
      <c r="H55" s="59">
        <f>'TABLA GENERAL'!D207</f>
        <v>2134</v>
      </c>
      <c r="I55" s="114">
        <f t="shared" si="11"/>
        <v>110968</v>
      </c>
      <c r="J55" s="51">
        <v>0</v>
      </c>
      <c r="K55" s="60">
        <f t="shared" si="12"/>
        <v>0</v>
      </c>
      <c r="L55" s="15">
        <v>2</v>
      </c>
      <c r="M55" s="60">
        <f t="shared" si="13"/>
        <v>4268</v>
      </c>
    </row>
    <row r="56" spans="1:13" ht="17.25" thickBot="1" x14ac:dyDescent="0.3">
      <c r="A56" s="112"/>
      <c r="B56" s="112"/>
      <c r="C56" s="112"/>
      <c r="D56" s="112"/>
      <c r="E56" s="112"/>
      <c r="F56" s="112" t="s">
        <v>534</v>
      </c>
      <c r="G56" s="112"/>
      <c r="H56" s="112"/>
      <c r="I56" s="118">
        <f>SUM(I51:I55)</f>
        <v>943731.92</v>
      </c>
      <c r="J56" s="112"/>
      <c r="K56" s="119">
        <f>SUM(K51:K55)</f>
        <v>0</v>
      </c>
      <c r="L56" s="112"/>
      <c r="M56" s="119">
        <f>SUM(M51:M55)</f>
        <v>312657.52999999997</v>
      </c>
    </row>
    <row r="58" spans="1:13" ht="15.75" thickBot="1" x14ac:dyDescent="0.3">
      <c r="B58" s="195"/>
      <c r="C58" s="195"/>
      <c r="D58" s="195"/>
      <c r="E58" s="195"/>
      <c r="I58"/>
    </row>
    <row r="59" spans="1:13" ht="33.75" thickBot="1" x14ac:dyDescent="0.3">
      <c r="A59" s="314" t="s">
        <v>228</v>
      </c>
      <c r="B59" s="610" t="s">
        <v>536</v>
      </c>
      <c r="C59" s="622"/>
      <c r="D59" s="622"/>
      <c r="E59" s="125"/>
      <c r="F59" s="314" t="s">
        <v>85</v>
      </c>
      <c r="G59" s="314" t="s">
        <v>229</v>
      </c>
      <c r="H59" s="112" t="s">
        <v>123</v>
      </c>
      <c r="I59" s="118" t="s">
        <v>230</v>
      </c>
      <c r="J59" s="314">
        <v>2021</v>
      </c>
      <c r="K59" s="314" t="s">
        <v>79</v>
      </c>
      <c r="L59" s="314">
        <v>2022</v>
      </c>
      <c r="M59" s="314" t="s">
        <v>79</v>
      </c>
    </row>
    <row r="60" spans="1:13" ht="30.75" thickBot="1" x14ac:dyDescent="0.3">
      <c r="A60" s="558" t="s">
        <v>535</v>
      </c>
      <c r="B60" s="612"/>
      <c r="C60" s="623"/>
      <c r="D60" s="623"/>
      <c r="E60" s="56" t="s">
        <v>168</v>
      </c>
      <c r="F60" s="48" t="s">
        <v>169</v>
      </c>
      <c r="G60" s="47">
        <v>8</v>
      </c>
      <c r="H60" s="72">
        <f>'TABLA GENERAL'!D227</f>
        <v>90850</v>
      </c>
      <c r="I60" s="114">
        <f>H60*G60</f>
        <v>726800</v>
      </c>
      <c r="J60" s="47">
        <v>3</v>
      </c>
      <c r="K60" s="60">
        <f t="shared" ref="K60:K69" si="14">J60*H60</f>
        <v>272550</v>
      </c>
      <c r="L60" s="47">
        <v>2</v>
      </c>
      <c r="M60" s="60">
        <f t="shared" ref="M60:M69" si="15">L60*H60</f>
        <v>181700</v>
      </c>
    </row>
    <row r="61" spans="1:13" ht="30.75" thickBot="1" x14ac:dyDescent="0.3">
      <c r="A61" s="559" t="s">
        <v>535</v>
      </c>
      <c r="B61" s="612"/>
      <c r="C61" s="623"/>
      <c r="D61" s="623"/>
      <c r="E61" s="56" t="s">
        <v>171</v>
      </c>
      <c r="F61" s="32" t="s">
        <v>172</v>
      </c>
      <c r="G61" s="15">
        <v>9</v>
      </c>
      <c r="H61" s="72">
        <f>'TABLA GENERAL'!D228</f>
        <v>4932</v>
      </c>
      <c r="I61" s="114">
        <f t="shared" ref="I61:I69" si="16">H61*G61</f>
        <v>44388</v>
      </c>
      <c r="J61" s="15">
        <v>3</v>
      </c>
      <c r="K61" s="60">
        <f t="shared" si="14"/>
        <v>14796</v>
      </c>
      <c r="L61" s="15">
        <v>4</v>
      </c>
      <c r="M61" s="60">
        <f t="shared" si="15"/>
        <v>19728</v>
      </c>
    </row>
    <row r="62" spans="1:13" ht="15.75" thickBot="1" x14ac:dyDescent="0.3">
      <c r="A62" s="559" t="s">
        <v>535</v>
      </c>
      <c r="B62" s="612"/>
      <c r="C62" s="623"/>
      <c r="D62" s="623"/>
      <c r="E62" s="56" t="s">
        <v>173</v>
      </c>
      <c r="F62" s="32" t="s">
        <v>174</v>
      </c>
      <c r="G62" s="15">
        <v>18</v>
      </c>
      <c r="H62" s="72">
        <f>'TABLA GENERAL'!D229</f>
        <v>92</v>
      </c>
      <c r="I62" s="114">
        <f t="shared" si="16"/>
        <v>1656</v>
      </c>
      <c r="J62" s="15">
        <v>6</v>
      </c>
      <c r="K62" s="60">
        <f t="shared" si="14"/>
        <v>552</v>
      </c>
      <c r="L62" s="15">
        <v>8</v>
      </c>
      <c r="M62" s="60">
        <f t="shared" si="15"/>
        <v>736</v>
      </c>
    </row>
    <row r="63" spans="1:13" ht="15.75" thickBot="1" x14ac:dyDescent="0.3">
      <c r="A63" s="559" t="s">
        <v>535</v>
      </c>
      <c r="B63" s="612"/>
      <c r="C63" s="623"/>
      <c r="D63" s="623"/>
      <c r="E63" s="56" t="s">
        <v>176</v>
      </c>
      <c r="F63" s="32" t="s">
        <v>177</v>
      </c>
      <c r="G63" s="15">
        <v>9</v>
      </c>
      <c r="H63" s="72">
        <f>'TABLA GENERAL'!D230</f>
        <v>65</v>
      </c>
      <c r="I63" s="114">
        <f t="shared" si="16"/>
        <v>585</v>
      </c>
      <c r="J63" s="15">
        <v>3</v>
      </c>
      <c r="K63" s="60">
        <f t="shared" si="14"/>
        <v>195</v>
      </c>
      <c r="L63" s="15">
        <v>4</v>
      </c>
      <c r="M63" s="60">
        <f t="shared" si="15"/>
        <v>260</v>
      </c>
    </row>
    <row r="64" spans="1:13" ht="15.75" thickBot="1" x14ac:dyDescent="0.3">
      <c r="A64" s="559" t="s">
        <v>535</v>
      </c>
      <c r="B64" s="612"/>
      <c r="C64" s="623"/>
      <c r="D64" s="623"/>
      <c r="E64" s="56" t="s">
        <v>537</v>
      </c>
      <c r="F64" s="32" t="s">
        <v>538</v>
      </c>
      <c r="G64" s="15">
        <v>9</v>
      </c>
      <c r="H64" s="72">
        <f>'TABLA GENERAL'!D231</f>
        <v>2750</v>
      </c>
      <c r="I64" s="114">
        <f t="shared" si="16"/>
        <v>24750</v>
      </c>
      <c r="J64" s="15">
        <v>3</v>
      </c>
      <c r="K64" s="60">
        <f t="shared" si="14"/>
        <v>8250</v>
      </c>
      <c r="L64" s="15">
        <v>4</v>
      </c>
      <c r="M64" s="60">
        <f t="shared" si="15"/>
        <v>11000</v>
      </c>
    </row>
    <row r="65" spans="1:13" ht="30.75" thickBot="1" x14ac:dyDescent="0.3">
      <c r="A65" s="559" t="s">
        <v>535</v>
      </c>
      <c r="B65" s="612"/>
      <c r="C65" s="623"/>
      <c r="D65" s="623"/>
      <c r="E65" s="56" t="s">
        <v>539</v>
      </c>
      <c r="F65" s="32" t="s">
        <v>540</v>
      </c>
      <c r="G65" s="15">
        <v>9</v>
      </c>
      <c r="H65" s="72">
        <f>'TABLA GENERAL'!D232</f>
        <v>1240</v>
      </c>
      <c r="I65" s="114">
        <f t="shared" si="16"/>
        <v>11160</v>
      </c>
      <c r="J65" s="15">
        <v>3</v>
      </c>
      <c r="K65" s="60">
        <f t="shared" si="14"/>
        <v>3720</v>
      </c>
      <c r="L65" s="15">
        <v>4</v>
      </c>
      <c r="M65" s="60">
        <f t="shared" si="15"/>
        <v>4960</v>
      </c>
    </row>
    <row r="66" spans="1:13" ht="15.75" thickBot="1" x14ac:dyDescent="0.3">
      <c r="A66" s="559" t="s">
        <v>535</v>
      </c>
      <c r="B66" s="612"/>
      <c r="C66" s="623"/>
      <c r="D66" s="623"/>
      <c r="E66" s="56" t="s">
        <v>541</v>
      </c>
      <c r="F66" s="32" t="s">
        <v>542</v>
      </c>
      <c r="G66" s="15">
        <v>9</v>
      </c>
      <c r="H66" s="72">
        <f>'TABLA GENERAL'!D233</f>
        <v>62</v>
      </c>
      <c r="I66" s="114">
        <f t="shared" si="16"/>
        <v>558</v>
      </c>
      <c r="J66" s="15">
        <v>3</v>
      </c>
      <c r="K66" s="60">
        <f t="shared" si="14"/>
        <v>186</v>
      </c>
      <c r="L66" s="15">
        <v>4</v>
      </c>
      <c r="M66" s="60">
        <f t="shared" si="15"/>
        <v>248</v>
      </c>
    </row>
    <row r="67" spans="1:13" ht="15.75" thickBot="1" x14ac:dyDescent="0.3">
      <c r="A67" s="559" t="s">
        <v>535</v>
      </c>
      <c r="B67" s="612"/>
      <c r="C67" s="623"/>
      <c r="D67" s="623"/>
      <c r="E67" s="56" t="s">
        <v>543</v>
      </c>
      <c r="F67" s="32" t="s">
        <v>544</v>
      </c>
      <c r="G67" s="15">
        <v>9</v>
      </c>
      <c r="H67" s="72">
        <f>'TABLA GENERAL'!D234</f>
        <v>65</v>
      </c>
      <c r="I67" s="114">
        <f t="shared" si="16"/>
        <v>585</v>
      </c>
      <c r="J67" s="15">
        <v>3</v>
      </c>
      <c r="K67" s="60">
        <f t="shared" si="14"/>
        <v>195</v>
      </c>
      <c r="L67" s="15">
        <v>4</v>
      </c>
      <c r="M67" s="60">
        <f t="shared" si="15"/>
        <v>260</v>
      </c>
    </row>
    <row r="68" spans="1:13" ht="30.75" thickBot="1" x14ac:dyDescent="0.3">
      <c r="A68" s="559" t="s">
        <v>535</v>
      </c>
      <c r="B68" s="612"/>
      <c r="C68" s="623"/>
      <c r="D68" s="623"/>
      <c r="E68" s="56" t="s">
        <v>545</v>
      </c>
      <c r="F68" s="32" t="s">
        <v>546</v>
      </c>
      <c r="G68" s="15">
        <v>9</v>
      </c>
      <c r="H68" s="72">
        <f>'TABLA GENERAL'!D235</f>
        <v>500</v>
      </c>
      <c r="I68" s="114">
        <f t="shared" si="16"/>
        <v>4500</v>
      </c>
      <c r="J68" s="15">
        <v>3</v>
      </c>
      <c r="K68" s="60">
        <f t="shared" si="14"/>
        <v>1500</v>
      </c>
      <c r="L68" s="15">
        <v>4</v>
      </c>
      <c r="M68" s="60">
        <f t="shared" si="15"/>
        <v>2000</v>
      </c>
    </row>
    <row r="69" spans="1:13" ht="21" thickBot="1" x14ac:dyDescent="0.3">
      <c r="A69" s="560" t="s">
        <v>535</v>
      </c>
      <c r="B69" s="126"/>
      <c r="C69" s="127"/>
      <c r="D69" s="127"/>
      <c r="E69" s="56" t="s">
        <v>547</v>
      </c>
      <c r="F69" s="57" t="s">
        <v>548</v>
      </c>
      <c r="G69" s="51">
        <v>9</v>
      </c>
      <c r="H69" s="72">
        <f>'TABLA GENERAL'!D236</f>
        <v>218</v>
      </c>
      <c r="I69" s="114">
        <f t="shared" si="16"/>
        <v>1962</v>
      </c>
      <c r="J69" s="15">
        <v>3</v>
      </c>
      <c r="K69" s="60">
        <f t="shared" si="14"/>
        <v>654</v>
      </c>
      <c r="L69" s="51">
        <v>4</v>
      </c>
      <c r="M69" s="60">
        <f t="shared" si="15"/>
        <v>872</v>
      </c>
    </row>
    <row r="70" spans="1:13" ht="17.25" thickBot="1" x14ac:dyDescent="0.3">
      <c r="A70" s="112"/>
      <c r="B70" s="112"/>
      <c r="C70" s="112"/>
      <c r="D70" s="112"/>
      <c r="E70" s="112"/>
      <c r="F70" s="112" t="s">
        <v>549</v>
      </c>
      <c r="G70" s="112"/>
      <c r="H70" s="112"/>
      <c r="I70" s="118">
        <f>SUM(I60:I69)</f>
        <v>816944</v>
      </c>
      <c r="J70" s="112"/>
      <c r="K70" s="119">
        <f>SUM(K60:K69)</f>
        <v>302598</v>
      </c>
      <c r="L70" s="112"/>
      <c r="M70" s="119">
        <f>SUM(M60:M69)</f>
        <v>221764</v>
      </c>
    </row>
    <row r="72" spans="1:13" x14ac:dyDescent="0.25">
      <c r="B72" s="195"/>
      <c r="C72" s="195"/>
      <c r="D72" s="195"/>
      <c r="E72" s="195"/>
      <c r="I72"/>
    </row>
    <row r="74" spans="1:13" ht="15.75" thickBot="1" x14ac:dyDescent="0.3">
      <c r="B74" s="195"/>
      <c r="C74" s="195"/>
      <c r="D74" s="195"/>
      <c r="E74" s="195"/>
      <c r="I74"/>
    </row>
    <row r="75" spans="1:13" ht="33.75" thickBot="1" x14ac:dyDescent="0.3">
      <c r="A75" s="314" t="s">
        <v>228</v>
      </c>
      <c r="B75" s="586" t="s">
        <v>555</v>
      </c>
      <c r="C75" s="587"/>
      <c r="D75" s="587"/>
      <c r="E75" s="130"/>
      <c r="F75" s="314" t="s">
        <v>85</v>
      </c>
      <c r="G75" s="314" t="s">
        <v>229</v>
      </c>
      <c r="H75" s="314" t="s">
        <v>123</v>
      </c>
      <c r="I75" s="113" t="s">
        <v>556</v>
      </c>
      <c r="J75" s="314">
        <v>2021</v>
      </c>
      <c r="K75" s="314" t="s">
        <v>79</v>
      </c>
      <c r="L75" s="314">
        <v>2022</v>
      </c>
      <c r="M75" s="314" t="s">
        <v>79</v>
      </c>
    </row>
    <row r="76" spans="1:13" ht="15.75" thickBot="1" x14ac:dyDescent="0.3">
      <c r="A76" s="553" t="s">
        <v>554</v>
      </c>
      <c r="B76" s="616"/>
      <c r="C76" s="624"/>
      <c r="D76" s="624"/>
      <c r="E76" s="56" t="s">
        <v>187</v>
      </c>
      <c r="F76" s="48" t="s">
        <v>188</v>
      </c>
      <c r="G76" s="47">
        <v>9</v>
      </c>
      <c r="H76" s="72">
        <f>'TABLA GENERAL'!D246</f>
        <v>2856</v>
      </c>
      <c r="I76" s="114">
        <f>+G76*H76</f>
        <v>25704</v>
      </c>
      <c r="J76" s="47">
        <v>0</v>
      </c>
      <c r="K76" s="60">
        <f t="shared" ref="K76:K84" si="17">J76*H76</f>
        <v>0</v>
      </c>
      <c r="L76" s="47">
        <v>4</v>
      </c>
      <c r="M76" s="60">
        <f t="shared" ref="M76:M84" si="18">L76*H76</f>
        <v>11424</v>
      </c>
    </row>
    <row r="77" spans="1:13" ht="15.75" thickBot="1" x14ac:dyDescent="0.3">
      <c r="A77" s="554"/>
      <c r="B77" s="616"/>
      <c r="C77" s="624"/>
      <c r="D77" s="624"/>
      <c r="E77" s="56" t="s">
        <v>557</v>
      </c>
      <c r="F77" s="32" t="s">
        <v>558</v>
      </c>
      <c r="G77" s="15">
        <v>9</v>
      </c>
      <c r="H77" s="72">
        <f>'TABLA GENERAL'!D247</f>
        <v>458.39</v>
      </c>
      <c r="I77" s="114">
        <f t="shared" ref="I77:I84" si="19">+G77*H77</f>
        <v>4125.51</v>
      </c>
      <c r="J77" s="47">
        <v>0</v>
      </c>
      <c r="K77" s="60">
        <f t="shared" si="17"/>
        <v>0</v>
      </c>
      <c r="L77" s="15">
        <v>4</v>
      </c>
      <c r="M77" s="60">
        <f t="shared" si="18"/>
        <v>1833.56</v>
      </c>
    </row>
    <row r="78" spans="1:13" ht="15.75" thickBot="1" x14ac:dyDescent="0.3">
      <c r="A78" s="554"/>
      <c r="B78" s="616"/>
      <c r="C78" s="624"/>
      <c r="D78" s="624"/>
      <c r="E78" s="56" t="s">
        <v>559</v>
      </c>
      <c r="F78" s="32" t="s">
        <v>560</v>
      </c>
      <c r="G78" s="15">
        <v>9</v>
      </c>
      <c r="H78" s="72">
        <f>'TABLA GENERAL'!D248</f>
        <v>2562</v>
      </c>
      <c r="I78" s="114">
        <f t="shared" si="19"/>
        <v>23058</v>
      </c>
      <c r="J78" s="47">
        <v>0</v>
      </c>
      <c r="K78" s="60">
        <f t="shared" si="17"/>
        <v>0</v>
      </c>
      <c r="L78" s="15">
        <v>4</v>
      </c>
      <c r="M78" s="60">
        <f t="shared" si="18"/>
        <v>10248</v>
      </c>
    </row>
    <row r="79" spans="1:13" ht="15.75" thickBot="1" x14ac:dyDescent="0.3">
      <c r="A79" s="554"/>
      <c r="B79" s="616"/>
      <c r="C79" s="624"/>
      <c r="D79" s="624"/>
      <c r="E79" s="56" t="s">
        <v>190</v>
      </c>
      <c r="F79" s="32" t="s">
        <v>191</v>
      </c>
      <c r="G79" s="15">
        <v>5</v>
      </c>
      <c r="H79" s="72">
        <f>'TABLA GENERAL'!D249</f>
        <v>9040</v>
      </c>
      <c r="I79" s="114">
        <f t="shared" si="19"/>
        <v>45200</v>
      </c>
      <c r="J79" s="47">
        <v>0</v>
      </c>
      <c r="K79" s="60">
        <f t="shared" si="17"/>
        <v>0</v>
      </c>
      <c r="L79" s="15">
        <v>5</v>
      </c>
      <c r="M79" s="60">
        <f t="shared" si="18"/>
        <v>45200</v>
      </c>
    </row>
    <row r="80" spans="1:13" ht="15.75" thickBot="1" x14ac:dyDescent="0.3">
      <c r="A80" s="554"/>
      <c r="B80" s="616"/>
      <c r="C80" s="624"/>
      <c r="D80" s="624"/>
      <c r="E80" s="56" t="s">
        <v>561</v>
      </c>
      <c r="F80" s="32" t="s">
        <v>562</v>
      </c>
      <c r="G80" s="15">
        <v>9</v>
      </c>
      <c r="H80" s="72">
        <f>'TABLA GENERAL'!D250</f>
        <v>709</v>
      </c>
      <c r="I80" s="114">
        <f t="shared" si="19"/>
        <v>6381</v>
      </c>
      <c r="J80" s="47">
        <v>0</v>
      </c>
      <c r="K80" s="60">
        <f t="shared" si="17"/>
        <v>0</v>
      </c>
      <c r="L80" s="15">
        <v>4</v>
      </c>
      <c r="M80" s="60">
        <f t="shared" si="18"/>
        <v>2836</v>
      </c>
    </row>
    <row r="81" spans="1:14" ht="30.75" thickBot="1" x14ac:dyDescent="0.3">
      <c r="A81" s="554"/>
      <c r="B81" s="616"/>
      <c r="C81" s="624"/>
      <c r="D81" s="624"/>
      <c r="E81" s="56" t="s">
        <v>563</v>
      </c>
      <c r="F81" s="32" t="s">
        <v>564</v>
      </c>
      <c r="G81" s="15">
        <v>9</v>
      </c>
      <c r="H81" s="72">
        <f>'TABLA GENERAL'!D251</f>
        <v>164</v>
      </c>
      <c r="I81" s="114">
        <f t="shared" si="19"/>
        <v>1476</v>
      </c>
      <c r="J81" s="47">
        <v>0</v>
      </c>
      <c r="K81" s="60">
        <f t="shared" si="17"/>
        <v>0</v>
      </c>
      <c r="L81" s="15">
        <v>4</v>
      </c>
      <c r="M81" s="60">
        <f t="shared" si="18"/>
        <v>656</v>
      </c>
    </row>
    <row r="82" spans="1:14" ht="15.75" thickBot="1" x14ac:dyDescent="0.3">
      <c r="A82" s="554"/>
      <c r="B82" s="616"/>
      <c r="C82" s="624"/>
      <c r="D82" s="624"/>
      <c r="E82" s="56" t="s">
        <v>192</v>
      </c>
      <c r="F82" s="32" t="s">
        <v>193</v>
      </c>
      <c r="G82" s="15">
        <v>1</v>
      </c>
      <c r="H82" s="72">
        <f>'TABLA GENERAL'!D252</f>
        <v>12000</v>
      </c>
      <c r="I82" s="114">
        <f t="shared" si="19"/>
        <v>12000</v>
      </c>
      <c r="J82" s="47">
        <v>0</v>
      </c>
      <c r="K82" s="60">
        <f t="shared" si="17"/>
        <v>0</v>
      </c>
      <c r="L82" s="15">
        <v>1</v>
      </c>
      <c r="M82" s="60">
        <f t="shared" si="18"/>
        <v>12000</v>
      </c>
    </row>
    <row r="83" spans="1:14" ht="15.75" thickBot="1" x14ac:dyDescent="0.3">
      <c r="A83" s="554"/>
      <c r="B83" s="616"/>
      <c r="C83" s="624"/>
      <c r="D83" s="624"/>
      <c r="E83" s="56" t="s">
        <v>565</v>
      </c>
      <c r="F83" s="32" t="s">
        <v>566</v>
      </c>
      <c r="G83" s="15">
        <v>23</v>
      </c>
      <c r="H83" s="72">
        <f>'TABLA GENERAL'!D253</f>
        <v>70</v>
      </c>
      <c r="I83" s="114">
        <f t="shared" si="19"/>
        <v>1610</v>
      </c>
      <c r="J83" s="47">
        <v>0</v>
      </c>
      <c r="K83" s="60">
        <f t="shared" si="17"/>
        <v>0</v>
      </c>
      <c r="L83" s="15">
        <v>10</v>
      </c>
      <c r="M83" s="60">
        <f t="shared" si="18"/>
        <v>700</v>
      </c>
    </row>
    <row r="84" spans="1:14" ht="15.75" thickBot="1" x14ac:dyDescent="0.3">
      <c r="A84" s="554"/>
      <c r="B84" s="616"/>
      <c r="C84" s="624"/>
      <c r="D84" s="624"/>
      <c r="E84" s="56" t="s">
        <v>567</v>
      </c>
      <c r="F84" s="32" t="s">
        <v>568</v>
      </c>
      <c r="G84" s="15">
        <v>7</v>
      </c>
      <c r="H84" s="72">
        <f>'TABLA GENERAL'!D254</f>
        <v>2900</v>
      </c>
      <c r="I84" s="114">
        <f t="shared" si="19"/>
        <v>20300</v>
      </c>
      <c r="J84" s="47">
        <v>0</v>
      </c>
      <c r="K84" s="60">
        <f t="shared" si="17"/>
        <v>0</v>
      </c>
      <c r="L84" s="15">
        <v>7</v>
      </c>
      <c r="M84" s="60">
        <f t="shared" si="18"/>
        <v>20300</v>
      </c>
    </row>
    <row r="85" spans="1:14" ht="17.25" thickBot="1" x14ac:dyDescent="0.3">
      <c r="A85" s="112"/>
      <c r="B85" s="112"/>
      <c r="C85" s="112"/>
      <c r="D85" s="112"/>
      <c r="E85" s="112"/>
      <c r="F85" s="112" t="s">
        <v>571</v>
      </c>
      <c r="G85" s="112"/>
      <c r="H85" s="112"/>
      <c r="I85" s="118">
        <f>SUM(I76:I84)</f>
        <v>139854.51</v>
      </c>
      <c r="J85" s="112"/>
      <c r="K85" s="119">
        <f>SUM(K76:K84)</f>
        <v>0</v>
      </c>
      <c r="L85" s="112"/>
      <c r="M85" s="119">
        <f>SUM(M76:M84)</f>
        <v>105197.56</v>
      </c>
    </row>
    <row r="86" spans="1:14" ht="15.75" thickBot="1" x14ac:dyDescent="0.3"/>
    <row r="87" spans="1:14" ht="19.5" thickBot="1" x14ac:dyDescent="0.35">
      <c r="A87" s="132"/>
      <c r="B87" s="132"/>
      <c r="C87" s="132"/>
      <c r="D87" s="132"/>
      <c r="E87" s="132"/>
      <c r="F87" s="592"/>
      <c r="G87" s="593"/>
      <c r="H87" s="593"/>
      <c r="I87" s="594"/>
    </row>
    <row r="88" spans="1:14" ht="18.75" thickBot="1" x14ac:dyDescent="0.3">
      <c r="A88" s="586" t="s">
        <v>589</v>
      </c>
      <c r="B88" s="587"/>
      <c r="C88" s="587"/>
      <c r="D88" s="587"/>
      <c r="E88" s="587"/>
      <c r="F88" s="588"/>
      <c r="G88" s="592" t="s">
        <v>230</v>
      </c>
      <c r="H88" s="593"/>
      <c r="I88" s="594"/>
      <c r="J88" s="595">
        <v>2021</v>
      </c>
      <c r="K88" s="596"/>
      <c r="L88" s="595">
        <v>2022</v>
      </c>
      <c r="M88" s="596"/>
    </row>
    <row r="89" spans="1:14" ht="18.75" thickBot="1" x14ac:dyDescent="0.3">
      <c r="A89" s="589"/>
      <c r="B89" s="590"/>
      <c r="C89" s="590"/>
      <c r="D89" s="590"/>
      <c r="E89" s="590"/>
      <c r="F89" s="591"/>
      <c r="G89" s="599" t="e">
        <f>(S23+S35+S46+S56+S70+#REF!+S85+#REF!+#REF!+#REF!+#REF!+#REF!)</f>
        <v>#REF!</v>
      </c>
      <c r="H89" s="600"/>
      <c r="I89" s="133"/>
      <c r="J89" s="599">
        <v>2550000</v>
      </c>
      <c r="K89" s="601"/>
      <c r="L89" s="599">
        <v>2500000</v>
      </c>
      <c r="M89" s="601"/>
      <c r="N89" s="14">
        <f>M85+M70+M56+M46+M35+M23</f>
        <v>2584654.89</v>
      </c>
    </row>
    <row r="90" spans="1:14" x14ac:dyDescent="0.25">
      <c r="I90"/>
      <c r="K90" s="14" t="e">
        <f>#REF!+#REF!+#REF!+#REF!+#REF!+K85+#REF!+K70+K56+K46+K35+K23</f>
        <v>#REF!</v>
      </c>
      <c r="M90" s="14" t="e">
        <f>#REF!+#REF!+#REF!+#REF!+#REF!+M85+#REF!+M70+M56+M46+M35+M23</f>
        <v>#REF!</v>
      </c>
      <c r="N90" s="14">
        <f>N89-L89</f>
        <v>84654.89000000013</v>
      </c>
    </row>
    <row r="91" spans="1:14" x14ac:dyDescent="0.25">
      <c r="I91"/>
      <c r="K91" s="14" t="e">
        <f>J89-K90</f>
        <v>#REF!</v>
      </c>
      <c r="M91" s="14" t="e">
        <f>L89-M90</f>
        <v>#REF!</v>
      </c>
    </row>
    <row r="93" spans="1:14" x14ac:dyDescent="0.25">
      <c r="I93"/>
    </row>
  </sheetData>
  <mergeCells count="33">
    <mergeCell ref="J88:K88"/>
    <mergeCell ref="L88:M88"/>
    <mergeCell ref="G89:H89"/>
    <mergeCell ref="J89:K89"/>
    <mergeCell ref="L89:M89"/>
    <mergeCell ref="F87:I87"/>
    <mergeCell ref="A88:F89"/>
    <mergeCell ref="G88:I88"/>
    <mergeCell ref="B59:D68"/>
    <mergeCell ref="A60:A69"/>
    <mergeCell ref="B75:D84"/>
    <mergeCell ref="A76:A84"/>
    <mergeCell ref="A40:A45"/>
    <mergeCell ref="B40:B45"/>
    <mergeCell ref="C40:D44"/>
    <mergeCell ref="C45:D45"/>
    <mergeCell ref="A51:A55"/>
    <mergeCell ref="B51:B55"/>
    <mergeCell ref="C51:D54"/>
    <mergeCell ref="C55:D55"/>
    <mergeCell ref="B27:B30"/>
    <mergeCell ref="C28:D30"/>
    <mergeCell ref="B31:B33"/>
    <mergeCell ref="C31:C34"/>
    <mergeCell ref="D31:D33"/>
    <mergeCell ref="A5:A22"/>
    <mergeCell ref="B5:B23"/>
    <mergeCell ref="C5:C15"/>
    <mergeCell ref="D5:D11"/>
    <mergeCell ref="D12:D15"/>
    <mergeCell ref="C16:C18"/>
    <mergeCell ref="D16:D17"/>
    <mergeCell ref="C19:D2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opLeftCell="E16" workbookViewId="0">
      <selection activeCell="H51" sqref="H51"/>
    </sheetView>
  </sheetViews>
  <sheetFormatPr baseColWidth="10" defaultRowHeight="15" x14ac:dyDescent="0.25"/>
  <cols>
    <col min="1" max="1" width="15.7109375" hidden="1" customWidth="1"/>
    <col min="2" max="2" width="8.28515625" customWidth="1"/>
    <col min="3" max="3" width="19" customWidth="1"/>
    <col min="4" max="4" width="30" customWidth="1"/>
    <col min="5" max="5" width="7.7109375" customWidth="1"/>
    <col min="6" max="6" width="51.5703125" customWidth="1"/>
    <col min="7" max="7" width="18.7109375" customWidth="1"/>
    <col min="8" max="8" width="16.7109375" customWidth="1"/>
    <col min="9" max="9" width="18.28515625" style="111" customWidth="1"/>
    <col min="10" max="10" width="9.42578125" customWidth="1"/>
    <col min="11" max="11" width="18" customWidth="1"/>
    <col min="12" max="12" width="12" bestFit="1" customWidth="1"/>
  </cols>
  <sheetData>
    <row r="1" spans="1:13" ht="14.45" x14ac:dyDescent="0.3">
      <c r="I1"/>
    </row>
    <row r="2" spans="1:13" thickBot="1" x14ac:dyDescent="0.35">
      <c r="J2" s="661"/>
      <c r="K2" s="661"/>
    </row>
    <row r="3" spans="1:13" thickBot="1" x14ac:dyDescent="0.35">
      <c r="B3" s="195"/>
      <c r="C3" s="195"/>
      <c r="D3" s="195"/>
      <c r="E3" s="195"/>
      <c r="F3" s="195"/>
      <c r="G3" s="195"/>
      <c r="H3" s="195"/>
      <c r="I3" s="282"/>
      <c r="J3" s="664"/>
      <c r="K3" s="665"/>
    </row>
    <row r="4" spans="1:13" ht="28.15" thickBot="1" x14ac:dyDescent="0.35">
      <c r="A4" s="314" t="s">
        <v>228</v>
      </c>
      <c r="B4" s="314"/>
      <c r="C4" s="112"/>
      <c r="D4" s="314"/>
      <c r="E4" s="314"/>
      <c r="F4" s="314" t="s">
        <v>85</v>
      </c>
      <c r="G4" s="314" t="s">
        <v>229</v>
      </c>
      <c r="H4" s="314" t="s">
        <v>123</v>
      </c>
      <c r="I4" s="113" t="s">
        <v>230</v>
      </c>
      <c r="J4" s="314">
        <v>2023</v>
      </c>
      <c r="K4" s="314" t="s">
        <v>79</v>
      </c>
    </row>
    <row r="5" spans="1:13" ht="18.75" thickBot="1" x14ac:dyDescent="0.3">
      <c r="A5" s="308"/>
      <c r="B5" s="551"/>
      <c r="C5" s="644"/>
      <c r="D5" s="645"/>
      <c r="E5" s="47" t="s">
        <v>306</v>
      </c>
      <c r="F5" s="57" t="s">
        <v>307</v>
      </c>
      <c r="G5" s="51">
        <v>1</v>
      </c>
      <c r="H5" s="71">
        <f>'TABLA GENERAL'!D48</f>
        <v>670956</v>
      </c>
      <c r="I5" s="116">
        <v>670956</v>
      </c>
      <c r="J5" s="51">
        <v>0.2</v>
      </c>
      <c r="K5" s="60">
        <f>J5*H5</f>
        <v>134191.20000000001</v>
      </c>
    </row>
    <row r="6" spans="1:13" ht="17.25" thickBot="1" x14ac:dyDescent="0.3">
      <c r="A6" s="112"/>
      <c r="B6" s="552"/>
      <c r="C6" s="308"/>
      <c r="D6" s="112"/>
      <c r="E6" s="112"/>
      <c r="F6" s="112" t="s">
        <v>308</v>
      </c>
      <c r="G6" s="112"/>
      <c r="H6" s="112"/>
      <c r="I6" s="118">
        <f>SUM(I5:I5)</f>
        <v>670956</v>
      </c>
      <c r="J6" s="112"/>
      <c r="K6" s="119">
        <f>SUM(K5:K5)</f>
        <v>134191.20000000001</v>
      </c>
    </row>
    <row r="9" spans="1:13" thickBot="1" x14ac:dyDescent="0.35">
      <c r="B9" s="195"/>
      <c r="C9" s="195"/>
      <c r="D9" s="195"/>
      <c r="E9" s="195"/>
      <c r="I9"/>
    </row>
    <row r="10" spans="1:13" ht="33.75" thickBot="1" x14ac:dyDescent="0.3">
      <c r="A10" s="314" t="s">
        <v>228</v>
      </c>
      <c r="B10" s="550" t="s">
        <v>310</v>
      </c>
      <c r="C10" s="121"/>
      <c r="D10" s="122"/>
      <c r="E10" s="314"/>
      <c r="F10" s="112" t="s">
        <v>85</v>
      </c>
      <c r="G10" s="314" t="s">
        <v>229</v>
      </c>
      <c r="H10" s="314" t="s">
        <v>123</v>
      </c>
      <c r="I10" s="113" t="s">
        <v>230</v>
      </c>
      <c r="J10" s="314">
        <v>2023</v>
      </c>
      <c r="K10" s="314" t="s">
        <v>79</v>
      </c>
    </row>
    <row r="11" spans="1:13" ht="30.75" thickBot="1" x14ac:dyDescent="0.3">
      <c r="A11" s="279"/>
      <c r="B11" s="551"/>
      <c r="C11" s="646" t="s">
        <v>311</v>
      </c>
      <c r="D11" s="647"/>
      <c r="E11" s="47" t="s">
        <v>312</v>
      </c>
      <c r="F11" s="32" t="s">
        <v>313</v>
      </c>
      <c r="G11" s="15">
        <v>42</v>
      </c>
      <c r="H11" s="59">
        <f>'TABLA GENERAL'!D56</f>
        <v>739</v>
      </c>
      <c r="I11" s="115">
        <f>G11*H11</f>
        <v>31038</v>
      </c>
      <c r="J11" s="15">
        <v>14</v>
      </c>
      <c r="K11" s="60">
        <f t="shared" ref="K11:K29" si="0">J11*H11</f>
        <v>10346</v>
      </c>
    </row>
    <row r="12" spans="1:13" ht="15.75" thickBot="1" x14ac:dyDescent="0.3">
      <c r="A12" s="279"/>
      <c r="B12" s="551"/>
      <c r="C12" s="646"/>
      <c r="D12" s="647"/>
      <c r="E12" s="47" t="s">
        <v>314</v>
      </c>
      <c r="F12" s="32" t="s">
        <v>315</v>
      </c>
      <c r="G12" s="15">
        <v>84</v>
      </c>
      <c r="H12" s="59">
        <f>'TABLA GENERAL'!D57</f>
        <v>2300</v>
      </c>
      <c r="I12" s="115">
        <f t="shared" ref="I12:I20" si="1">G12*H12</f>
        <v>193200</v>
      </c>
      <c r="J12" s="15">
        <v>12</v>
      </c>
      <c r="K12" s="60">
        <f t="shared" si="0"/>
        <v>27600</v>
      </c>
    </row>
    <row r="13" spans="1:13" ht="15.75" thickBot="1" x14ac:dyDescent="0.3">
      <c r="A13" s="279"/>
      <c r="B13" s="551"/>
      <c r="C13" s="646"/>
      <c r="D13" s="647"/>
      <c r="E13" s="47" t="s">
        <v>94</v>
      </c>
      <c r="F13" s="32" t="s">
        <v>93</v>
      </c>
      <c r="G13" s="15">
        <v>125</v>
      </c>
      <c r="H13" s="59">
        <f>'TABLA GENERAL'!D58</f>
        <v>1690</v>
      </c>
      <c r="I13" s="115">
        <f t="shared" si="1"/>
        <v>211250</v>
      </c>
      <c r="J13" s="15">
        <v>12</v>
      </c>
      <c r="K13" s="60">
        <f t="shared" si="0"/>
        <v>20280</v>
      </c>
    </row>
    <row r="14" spans="1:13" ht="15.75" thickBot="1" x14ac:dyDescent="0.3">
      <c r="A14" s="279"/>
      <c r="B14" s="551"/>
      <c r="C14" s="646"/>
      <c r="D14" s="647"/>
      <c r="E14" s="47" t="s">
        <v>92</v>
      </c>
      <c r="F14" s="32" t="s">
        <v>91</v>
      </c>
      <c r="G14" s="15">
        <v>140</v>
      </c>
      <c r="H14" s="59">
        <f>'TABLA GENERAL'!D59</f>
        <v>13300</v>
      </c>
      <c r="I14" s="115">
        <f t="shared" si="1"/>
        <v>1862000</v>
      </c>
      <c r="J14" s="15">
        <v>12</v>
      </c>
      <c r="K14" s="60">
        <f t="shared" si="0"/>
        <v>159600</v>
      </c>
      <c r="L14">
        <f>+K14/8300</f>
        <v>19.228915662650603</v>
      </c>
      <c r="M14">
        <v>8300</v>
      </c>
    </row>
    <row r="15" spans="1:13" ht="15.75" thickBot="1" x14ac:dyDescent="0.3">
      <c r="A15" s="279"/>
      <c r="B15" s="551"/>
      <c r="C15" s="627" t="s">
        <v>424</v>
      </c>
      <c r="D15" s="637" t="s">
        <v>425</v>
      </c>
      <c r="E15" s="56" t="s">
        <v>76</v>
      </c>
      <c r="F15" s="32" t="s">
        <v>75</v>
      </c>
      <c r="G15" s="15">
        <v>4</v>
      </c>
      <c r="H15" s="59">
        <f>'TABLA GENERAL'!D121</f>
        <v>15700</v>
      </c>
      <c r="I15" s="115">
        <f t="shared" si="1"/>
        <v>62800</v>
      </c>
      <c r="J15" s="19">
        <v>1</v>
      </c>
      <c r="K15" s="60">
        <f t="shared" si="0"/>
        <v>15700</v>
      </c>
    </row>
    <row r="16" spans="1:13" ht="15.75" thickBot="1" x14ac:dyDescent="0.3">
      <c r="A16" s="279"/>
      <c r="B16" s="551"/>
      <c r="C16" s="629"/>
      <c r="D16" s="638"/>
      <c r="E16" s="56" t="s">
        <v>74</v>
      </c>
      <c r="F16" s="32" t="s">
        <v>73</v>
      </c>
      <c r="G16" s="15">
        <v>4</v>
      </c>
      <c r="H16" s="59">
        <f>'TABLA GENERAL'!D122</f>
        <v>45800</v>
      </c>
      <c r="I16" s="115">
        <f t="shared" si="1"/>
        <v>183200</v>
      </c>
      <c r="J16" s="19">
        <v>1</v>
      </c>
      <c r="K16" s="60">
        <f t="shared" si="0"/>
        <v>45800</v>
      </c>
    </row>
    <row r="17" spans="1:11" ht="15.75" thickBot="1" x14ac:dyDescent="0.3">
      <c r="A17" s="279"/>
      <c r="B17" s="551"/>
      <c r="C17" s="629"/>
      <c r="D17" s="638"/>
      <c r="E17" s="56" t="s">
        <v>72</v>
      </c>
      <c r="F17" s="32" t="s">
        <v>71</v>
      </c>
      <c r="G17" s="15">
        <v>28</v>
      </c>
      <c r="H17" s="59">
        <f>'TABLA GENERAL'!D123</f>
        <v>4090</v>
      </c>
      <c r="I17" s="115">
        <f t="shared" si="1"/>
        <v>114520</v>
      </c>
      <c r="J17" s="19">
        <v>9</v>
      </c>
      <c r="K17" s="60">
        <f t="shared" si="0"/>
        <v>36810</v>
      </c>
    </row>
    <row r="18" spans="1:11" ht="15.75" thickBot="1" x14ac:dyDescent="0.3">
      <c r="A18" s="279"/>
      <c r="B18" s="551"/>
      <c r="C18" s="629"/>
      <c r="D18" s="638"/>
      <c r="E18" s="56" t="s">
        <v>339</v>
      </c>
      <c r="F18" s="32" t="s">
        <v>426</v>
      </c>
      <c r="G18" s="15">
        <v>28</v>
      </c>
      <c r="H18" s="59">
        <f>'TABLA GENERAL'!D124</f>
        <v>3650</v>
      </c>
      <c r="I18" s="115">
        <f t="shared" si="1"/>
        <v>102200</v>
      </c>
      <c r="J18" s="19">
        <v>9</v>
      </c>
      <c r="K18" s="60">
        <f t="shared" si="0"/>
        <v>32850</v>
      </c>
    </row>
    <row r="19" spans="1:11" ht="30.75" thickBot="1" x14ac:dyDescent="0.3">
      <c r="A19" s="279"/>
      <c r="B19" s="551"/>
      <c r="C19" s="629"/>
      <c r="D19" s="638"/>
      <c r="E19" s="56" t="s">
        <v>427</v>
      </c>
      <c r="F19" s="32" t="s">
        <v>428</v>
      </c>
      <c r="G19" s="15">
        <v>8</v>
      </c>
      <c r="H19" s="59">
        <f>'TABLA GENERAL'!D125</f>
        <v>5100</v>
      </c>
      <c r="I19" s="115">
        <f t="shared" si="1"/>
        <v>40800</v>
      </c>
      <c r="J19" s="19">
        <v>3</v>
      </c>
      <c r="K19" s="60">
        <f t="shared" si="0"/>
        <v>15300</v>
      </c>
    </row>
    <row r="20" spans="1:11" ht="15.75" thickBot="1" x14ac:dyDescent="0.3">
      <c r="A20" s="279"/>
      <c r="B20" s="551"/>
      <c r="C20" s="629"/>
      <c r="D20" s="638"/>
      <c r="E20" s="56" t="s">
        <v>429</v>
      </c>
      <c r="F20" s="32" t="s">
        <v>430</v>
      </c>
      <c r="G20" s="15">
        <v>84</v>
      </c>
      <c r="H20" s="59">
        <f>'TABLA GENERAL'!D126</f>
        <v>20800</v>
      </c>
      <c r="I20" s="115">
        <f t="shared" si="1"/>
        <v>1747200</v>
      </c>
      <c r="J20" s="19">
        <f>G20/3</f>
        <v>28</v>
      </c>
      <c r="K20" s="60">
        <f t="shared" si="0"/>
        <v>582400</v>
      </c>
    </row>
    <row r="21" spans="1:11" ht="15.75" thickBot="1" x14ac:dyDescent="0.3">
      <c r="A21" s="279"/>
      <c r="B21" s="551"/>
      <c r="C21" s="629"/>
      <c r="D21" s="638"/>
      <c r="E21" s="56" t="s">
        <v>431</v>
      </c>
      <c r="F21" s="32" t="s">
        <v>432</v>
      </c>
      <c r="G21" s="15">
        <v>84</v>
      </c>
      <c r="H21" s="59">
        <f>'TABLA GENERAL'!D127</f>
        <v>0</v>
      </c>
      <c r="I21" s="115">
        <f t="shared" ref="I21:I29" si="2">G21*H21</f>
        <v>0</v>
      </c>
      <c r="J21" s="19">
        <f>G21/3</f>
        <v>28</v>
      </c>
      <c r="K21" s="60">
        <f t="shared" si="0"/>
        <v>0</v>
      </c>
    </row>
    <row r="22" spans="1:11" ht="15.75" thickBot="1" x14ac:dyDescent="0.3">
      <c r="A22" s="279"/>
      <c r="B22" s="551"/>
      <c r="C22" s="629"/>
      <c r="D22" s="638"/>
      <c r="E22" s="56" t="s">
        <v>433</v>
      </c>
      <c r="F22" s="32" t="s">
        <v>434</v>
      </c>
      <c r="G22" s="15">
        <v>88</v>
      </c>
      <c r="H22" s="59">
        <f>'TABLA GENERAL'!D128</f>
        <v>0</v>
      </c>
      <c r="I22" s="115">
        <f t="shared" si="2"/>
        <v>0</v>
      </c>
      <c r="J22" s="19">
        <v>29</v>
      </c>
      <c r="K22" s="60">
        <f t="shared" si="0"/>
        <v>0</v>
      </c>
    </row>
    <row r="23" spans="1:11" ht="15.75" thickBot="1" x14ac:dyDescent="0.3">
      <c r="A23" s="279"/>
      <c r="B23" s="551"/>
      <c r="C23" s="629"/>
      <c r="D23" s="638"/>
      <c r="E23" s="56" t="s">
        <v>437</v>
      </c>
      <c r="F23" s="32" t="s">
        <v>438</v>
      </c>
      <c r="G23" s="15">
        <v>98</v>
      </c>
      <c r="H23" s="59">
        <f>'TABLA GENERAL'!D130</f>
        <v>2150</v>
      </c>
      <c r="I23" s="115">
        <f t="shared" si="2"/>
        <v>210700</v>
      </c>
      <c r="J23" s="19">
        <v>28</v>
      </c>
      <c r="K23" s="60">
        <f t="shared" si="0"/>
        <v>60200</v>
      </c>
    </row>
    <row r="24" spans="1:11" ht="15.75" thickBot="1" x14ac:dyDescent="0.3">
      <c r="A24" s="279"/>
      <c r="B24" s="551"/>
      <c r="C24" s="629"/>
      <c r="D24" s="638"/>
      <c r="E24" s="56" t="s">
        <v>447</v>
      </c>
      <c r="F24" s="32" t="s">
        <v>448</v>
      </c>
      <c r="G24" s="15">
        <v>9</v>
      </c>
      <c r="H24" s="59">
        <f>'TABLA GENERAL'!D136</f>
        <v>485</v>
      </c>
      <c r="I24" s="115">
        <f t="shared" si="2"/>
        <v>4365</v>
      </c>
      <c r="J24" s="19">
        <f>G24/3</f>
        <v>3</v>
      </c>
      <c r="K24" s="60">
        <f t="shared" si="0"/>
        <v>1455</v>
      </c>
    </row>
    <row r="25" spans="1:11" ht="15.75" thickBot="1" x14ac:dyDescent="0.3">
      <c r="A25" s="279"/>
      <c r="B25" s="551"/>
      <c r="C25" s="629"/>
      <c r="D25" s="638"/>
      <c r="E25" s="56" t="s">
        <v>69</v>
      </c>
      <c r="F25" s="32" t="s">
        <v>68</v>
      </c>
      <c r="G25" s="15">
        <v>83</v>
      </c>
      <c r="H25" s="59">
        <f>'TABLA GENERAL'!D137</f>
        <v>3800</v>
      </c>
      <c r="I25" s="115">
        <f t="shared" si="2"/>
        <v>315400</v>
      </c>
      <c r="J25" s="19">
        <v>28</v>
      </c>
      <c r="K25" s="60">
        <f t="shared" si="0"/>
        <v>106400</v>
      </c>
    </row>
    <row r="26" spans="1:11" ht="15.75" thickBot="1" x14ac:dyDescent="0.3">
      <c r="A26" s="279"/>
      <c r="B26" s="551"/>
      <c r="C26" s="629"/>
      <c r="D26" s="638"/>
      <c r="E26" s="56" t="s">
        <v>449</v>
      </c>
      <c r="F26" s="32" t="s">
        <v>450</v>
      </c>
      <c r="G26" s="15">
        <v>7</v>
      </c>
      <c r="H26" s="59">
        <f>'TABLA GENERAL'!D138</f>
        <v>1246</v>
      </c>
      <c r="I26" s="115">
        <f t="shared" si="2"/>
        <v>8722</v>
      </c>
      <c r="J26" s="19">
        <v>1</v>
      </c>
      <c r="K26" s="60">
        <f t="shared" si="0"/>
        <v>1246</v>
      </c>
    </row>
    <row r="27" spans="1:11" ht="15.75" thickBot="1" x14ac:dyDescent="0.3">
      <c r="A27" s="279"/>
      <c r="B27" s="551"/>
      <c r="C27" s="629"/>
      <c r="D27" s="551"/>
      <c r="E27" s="56" t="s">
        <v>456</v>
      </c>
      <c r="F27" s="32" t="s">
        <v>457</v>
      </c>
      <c r="G27" s="15">
        <v>68</v>
      </c>
      <c r="H27" s="59">
        <f>'TABLA GENERAL'!D141</f>
        <v>8469.75</v>
      </c>
      <c r="I27" s="115">
        <f t="shared" si="2"/>
        <v>575943</v>
      </c>
      <c r="J27" s="19">
        <v>23</v>
      </c>
      <c r="K27" s="60">
        <f t="shared" si="0"/>
        <v>194804.25</v>
      </c>
    </row>
    <row r="28" spans="1:11" ht="15.75" thickBot="1" x14ac:dyDescent="0.3">
      <c r="A28" s="279"/>
      <c r="B28" s="551"/>
      <c r="C28" s="629"/>
      <c r="D28" s="551"/>
      <c r="E28" s="56" t="s">
        <v>458</v>
      </c>
      <c r="F28" s="32" t="s">
        <v>459</v>
      </c>
      <c r="G28" s="15">
        <v>5</v>
      </c>
      <c r="H28" s="59">
        <f>'TABLA GENERAL'!D142</f>
        <v>2770</v>
      </c>
      <c r="I28" s="115">
        <f t="shared" si="2"/>
        <v>13850</v>
      </c>
      <c r="J28" s="19">
        <v>2</v>
      </c>
      <c r="K28" s="60">
        <f t="shared" si="0"/>
        <v>5540</v>
      </c>
    </row>
    <row r="29" spans="1:11" ht="15.75" thickBot="1" x14ac:dyDescent="0.3">
      <c r="A29" s="279"/>
      <c r="B29" s="551"/>
      <c r="C29" s="629"/>
      <c r="D29" s="551"/>
      <c r="E29" s="56" t="s">
        <v>462</v>
      </c>
      <c r="F29" s="32" t="s">
        <v>463</v>
      </c>
      <c r="G29" s="15">
        <v>10</v>
      </c>
      <c r="H29" s="59">
        <f>'TABLA GENERAL'!D144</f>
        <v>3800</v>
      </c>
      <c r="I29" s="115">
        <f t="shared" si="2"/>
        <v>38000</v>
      </c>
      <c r="J29" s="19">
        <v>2</v>
      </c>
      <c r="K29" s="60">
        <f t="shared" si="0"/>
        <v>7600</v>
      </c>
    </row>
    <row r="30" spans="1:11" thickBot="1" x14ac:dyDescent="0.35">
      <c r="A30" s="112"/>
      <c r="B30" s="112"/>
      <c r="C30" s="112"/>
      <c r="D30" s="124"/>
      <c r="E30" s="112"/>
      <c r="F30" s="112" t="s">
        <v>472</v>
      </c>
      <c r="G30" s="112"/>
      <c r="H30" s="112"/>
      <c r="I30" s="118">
        <f>SUM(I11:I29)</f>
        <v>5715188</v>
      </c>
      <c r="J30" s="112"/>
      <c r="K30" s="119">
        <f>SUM(K11:K29)</f>
        <v>1323931.25</v>
      </c>
    </row>
    <row r="33" spans="1:11" thickBot="1" x14ac:dyDescent="0.35">
      <c r="B33" s="195"/>
      <c r="C33" s="195"/>
      <c r="D33" s="195"/>
      <c r="E33" s="195"/>
      <c r="I33"/>
    </row>
    <row r="34" spans="1:11" ht="28.15" thickBot="1" x14ac:dyDescent="0.35">
      <c r="A34" s="314" t="s">
        <v>228</v>
      </c>
      <c r="B34" s="314"/>
      <c r="C34" s="314"/>
      <c r="D34" s="314"/>
      <c r="E34" s="314"/>
      <c r="F34" s="314" t="s">
        <v>85</v>
      </c>
      <c r="G34" s="314" t="s">
        <v>229</v>
      </c>
      <c r="H34" s="314" t="s">
        <v>123</v>
      </c>
      <c r="I34" s="113" t="s">
        <v>230</v>
      </c>
      <c r="J34" s="314">
        <v>2023</v>
      </c>
      <c r="K34" s="314" t="s">
        <v>79</v>
      </c>
    </row>
    <row r="35" spans="1:11" ht="15.75" thickBot="1" x14ac:dyDescent="0.3">
      <c r="A35" s="558" t="s">
        <v>473</v>
      </c>
      <c r="B35" s="550" t="s">
        <v>474</v>
      </c>
      <c r="C35" s="627" t="s">
        <v>475</v>
      </c>
      <c r="D35" s="628"/>
      <c r="E35" s="56" t="s">
        <v>476</v>
      </c>
      <c r="F35" s="48" t="s">
        <v>477</v>
      </c>
      <c r="G35" s="47">
        <v>118</v>
      </c>
      <c r="H35" s="72">
        <f>'TABLA GENERAL'!D159</f>
        <v>260</v>
      </c>
      <c r="I35" s="114">
        <f>H35*G35</f>
        <v>30680</v>
      </c>
      <c r="J35" s="20">
        <v>14</v>
      </c>
      <c r="K35" s="60">
        <f t="shared" ref="K35:K41" si="3">J35*H35</f>
        <v>3640</v>
      </c>
    </row>
    <row r="36" spans="1:11" ht="15.75" thickBot="1" x14ac:dyDescent="0.3">
      <c r="A36" s="559" t="s">
        <v>473</v>
      </c>
      <c r="B36" s="551"/>
      <c r="C36" s="629"/>
      <c r="D36" s="630"/>
      <c r="E36" s="56" t="s">
        <v>478</v>
      </c>
      <c r="F36" s="32" t="s">
        <v>479</v>
      </c>
      <c r="G36" s="15">
        <v>92</v>
      </c>
      <c r="H36" s="72">
        <f>'TABLA GENERAL'!D160</f>
        <v>84</v>
      </c>
      <c r="I36" s="114">
        <f t="shared" ref="I36:I41" si="4">H36*G36</f>
        <v>7728</v>
      </c>
      <c r="J36" s="15">
        <v>14</v>
      </c>
      <c r="K36" s="60">
        <f t="shared" si="3"/>
        <v>1176</v>
      </c>
    </row>
    <row r="37" spans="1:11" ht="15.75" thickBot="1" x14ac:dyDescent="0.3">
      <c r="A37" s="559" t="s">
        <v>473</v>
      </c>
      <c r="B37" s="551"/>
      <c r="C37" s="629"/>
      <c r="D37" s="630"/>
      <c r="E37" s="56" t="s">
        <v>480</v>
      </c>
      <c r="F37" s="32" t="s">
        <v>481</v>
      </c>
      <c r="G37" s="15">
        <v>111</v>
      </c>
      <c r="H37" s="72">
        <f>'TABLA GENERAL'!D161</f>
        <v>29</v>
      </c>
      <c r="I37" s="114">
        <f t="shared" si="4"/>
        <v>3219</v>
      </c>
      <c r="J37" s="15">
        <v>14</v>
      </c>
      <c r="K37" s="60">
        <f t="shared" si="3"/>
        <v>406</v>
      </c>
    </row>
    <row r="38" spans="1:11" ht="30.75" thickBot="1" x14ac:dyDescent="0.3">
      <c r="A38" s="559" t="s">
        <v>473</v>
      </c>
      <c r="B38" s="551"/>
      <c r="C38" s="629"/>
      <c r="D38" s="630"/>
      <c r="E38" s="56" t="s">
        <v>120</v>
      </c>
      <c r="F38" s="32" t="s">
        <v>119</v>
      </c>
      <c r="G38" s="15">
        <v>68</v>
      </c>
      <c r="H38" s="72">
        <f>'TABLA GENERAL'!D167</f>
        <v>3202</v>
      </c>
      <c r="I38" s="114">
        <f t="shared" si="4"/>
        <v>217736</v>
      </c>
      <c r="J38" s="15">
        <v>14</v>
      </c>
      <c r="K38" s="60">
        <f t="shared" si="3"/>
        <v>44828</v>
      </c>
    </row>
    <row r="39" spans="1:11" ht="15.75" thickBot="1" x14ac:dyDescent="0.3">
      <c r="A39" s="559" t="s">
        <v>473</v>
      </c>
      <c r="B39" s="551"/>
      <c r="C39" s="629"/>
      <c r="D39" s="630"/>
      <c r="E39" s="56" t="s">
        <v>115</v>
      </c>
      <c r="F39" s="32" t="s">
        <v>114</v>
      </c>
      <c r="G39" s="15">
        <v>56</v>
      </c>
      <c r="H39" s="72">
        <f>'TABLA GENERAL'!D169</f>
        <v>3600</v>
      </c>
      <c r="I39" s="114">
        <f t="shared" si="4"/>
        <v>201600</v>
      </c>
      <c r="J39" s="15">
        <v>22</v>
      </c>
      <c r="K39" s="60">
        <f t="shared" si="3"/>
        <v>79200</v>
      </c>
    </row>
    <row r="40" spans="1:11" ht="15.75" thickBot="1" x14ac:dyDescent="0.3">
      <c r="A40" s="559" t="s">
        <v>473</v>
      </c>
      <c r="B40" s="551"/>
      <c r="C40" s="629"/>
      <c r="D40" s="630"/>
      <c r="E40" s="56" t="s">
        <v>109</v>
      </c>
      <c r="F40" s="32" t="s">
        <v>108</v>
      </c>
      <c r="G40" s="15">
        <v>36</v>
      </c>
      <c r="H40" s="59">
        <f>'TABLA GENERAL'!D178</f>
        <v>3305</v>
      </c>
      <c r="I40" s="114">
        <f t="shared" si="4"/>
        <v>118980</v>
      </c>
      <c r="J40" s="15">
        <v>12</v>
      </c>
      <c r="K40" s="60">
        <f t="shared" si="3"/>
        <v>39660</v>
      </c>
    </row>
    <row r="41" spans="1:11" ht="15.75" thickBot="1" x14ac:dyDescent="0.3">
      <c r="A41" s="559" t="s">
        <v>473</v>
      </c>
      <c r="B41" s="551"/>
      <c r="C41" s="633" t="s">
        <v>511</v>
      </c>
      <c r="D41" s="634"/>
      <c r="E41" s="56" t="s">
        <v>512</v>
      </c>
      <c r="F41" s="32" t="s">
        <v>513</v>
      </c>
      <c r="G41" s="15">
        <v>20</v>
      </c>
      <c r="H41" s="59">
        <f>'TABLA GENERAL'!D186</f>
        <v>1200</v>
      </c>
      <c r="I41" s="114">
        <f t="shared" si="4"/>
        <v>24000</v>
      </c>
      <c r="J41" s="15">
        <v>4</v>
      </c>
      <c r="K41" s="60">
        <f t="shared" si="3"/>
        <v>4800</v>
      </c>
    </row>
    <row r="42" spans="1:11" ht="17.25" thickBot="1" x14ac:dyDescent="0.3">
      <c r="A42" s="112"/>
      <c r="B42" s="112"/>
      <c r="C42" s="112"/>
      <c r="D42" s="112"/>
      <c r="E42" s="112"/>
      <c r="F42" s="112" t="s">
        <v>516</v>
      </c>
      <c r="G42" s="112"/>
      <c r="H42" s="112"/>
      <c r="I42" s="118">
        <f>SUM(I35:I41)</f>
        <v>603943</v>
      </c>
      <c r="J42" s="112"/>
      <c r="K42" s="119">
        <f>SUM(K35:K41)</f>
        <v>173710</v>
      </c>
    </row>
    <row r="45" spans="1:11" ht="15.75" thickBot="1" x14ac:dyDescent="0.3">
      <c r="B45" s="195"/>
      <c r="C45" s="195"/>
      <c r="D45" s="195"/>
      <c r="E45" s="195"/>
      <c r="I45"/>
    </row>
    <row r="46" spans="1:11" ht="33.75" thickBot="1" x14ac:dyDescent="0.3">
      <c r="A46" s="314" t="s">
        <v>228</v>
      </c>
      <c r="B46" s="314"/>
      <c r="C46" s="314"/>
      <c r="D46" s="314"/>
      <c r="E46" s="314"/>
      <c r="F46" s="314" t="s">
        <v>85</v>
      </c>
      <c r="G46" s="314" t="s">
        <v>229</v>
      </c>
      <c r="H46" s="314" t="s">
        <v>123</v>
      </c>
      <c r="I46" s="113" t="s">
        <v>230</v>
      </c>
      <c r="J46" s="314">
        <v>2023</v>
      </c>
      <c r="K46" s="314" t="s">
        <v>79</v>
      </c>
    </row>
    <row r="47" spans="1:11" ht="45.75" thickBot="1" x14ac:dyDescent="0.3">
      <c r="A47" s="559" t="s">
        <v>517</v>
      </c>
      <c r="B47" s="551"/>
      <c r="C47" s="629"/>
      <c r="D47" s="630"/>
      <c r="E47" s="56" t="s">
        <v>128</v>
      </c>
      <c r="F47" s="32" t="s">
        <v>129</v>
      </c>
      <c r="G47" s="15">
        <v>2</v>
      </c>
      <c r="H47" s="59">
        <f>'TABLA GENERAL'!D199</f>
        <v>244998.75</v>
      </c>
      <c r="I47" s="114">
        <f t="shared" ref="I47:I52" si="5">+H47*G47</f>
        <v>489997.5</v>
      </c>
      <c r="J47" s="15">
        <v>1</v>
      </c>
      <c r="K47" s="60">
        <f t="shared" ref="K47:K52" si="6">J47*H47</f>
        <v>244998.75</v>
      </c>
    </row>
    <row r="48" spans="1:11" ht="30.75" thickBot="1" x14ac:dyDescent="0.3">
      <c r="A48" s="559" t="s">
        <v>517</v>
      </c>
      <c r="B48" s="551"/>
      <c r="C48" s="629"/>
      <c r="D48" s="630"/>
      <c r="E48" s="56" t="s">
        <v>130</v>
      </c>
      <c r="F48" s="32" t="s">
        <v>131</v>
      </c>
      <c r="G48" s="15">
        <v>2</v>
      </c>
      <c r="H48" s="59">
        <f>'TABLA GENERAL'!D200</f>
        <v>54499</v>
      </c>
      <c r="I48" s="114">
        <f t="shared" si="5"/>
        <v>108998</v>
      </c>
      <c r="J48" s="15">
        <v>2</v>
      </c>
      <c r="K48" s="60">
        <f t="shared" si="6"/>
        <v>108998</v>
      </c>
    </row>
    <row r="49" spans="1:12" ht="30.75" thickBot="1" x14ac:dyDescent="0.3">
      <c r="A49" s="559" t="s">
        <v>517</v>
      </c>
      <c r="B49" s="551"/>
      <c r="C49" s="629"/>
      <c r="D49" s="630"/>
      <c r="E49" s="56" t="s">
        <v>132</v>
      </c>
      <c r="F49" s="32" t="s">
        <v>133</v>
      </c>
      <c r="G49" s="15">
        <v>4</v>
      </c>
      <c r="H49" s="59">
        <f>'TABLA GENERAL'!D201</f>
        <v>57249</v>
      </c>
      <c r="I49" s="114">
        <f t="shared" si="5"/>
        <v>228996</v>
      </c>
      <c r="J49" s="15">
        <v>3</v>
      </c>
      <c r="K49" s="60">
        <f t="shared" si="6"/>
        <v>171747</v>
      </c>
    </row>
    <row r="50" spans="1:12" ht="15.75" thickBot="1" x14ac:dyDescent="0.3">
      <c r="A50" s="559" t="s">
        <v>517</v>
      </c>
      <c r="B50" s="551"/>
      <c r="C50" s="633" t="s">
        <v>528</v>
      </c>
      <c r="D50" s="634"/>
      <c r="E50" s="56" t="s">
        <v>135</v>
      </c>
      <c r="F50" s="32" t="s">
        <v>136</v>
      </c>
      <c r="G50" s="15">
        <v>13</v>
      </c>
      <c r="H50" s="59">
        <f>'TABLA GENERAL'!D206</f>
        <v>11022</v>
      </c>
      <c r="I50" s="114">
        <f t="shared" si="5"/>
        <v>143286</v>
      </c>
      <c r="J50" s="15">
        <v>3</v>
      </c>
      <c r="K50" s="60">
        <f t="shared" si="6"/>
        <v>33066</v>
      </c>
    </row>
    <row r="51" spans="1:12" ht="15.75" thickBot="1" x14ac:dyDescent="0.3">
      <c r="A51" s="559" t="s">
        <v>517</v>
      </c>
      <c r="B51" s="551"/>
      <c r="C51" s="629"/>
      <c r="D51" s="630"/>
      <c r="E51" s="56" t="s">
        <v>141</v>
      </c>
      <c r="F51" s="32" t="s">
        <v>142</v>
      </c>
      <c r="G51" s="15">
        <v>2</v>
      </c>
      <c r="H51" s="59">
        <f>'TABLA GENERAL'!D210</f>
        <v>181147</v>
      </c>
      <c r="I51" s="114">
        <f t="shared" si="5"/>
        <v>362294</v>
      </c>
      <c r="J51" s="15">
        <v>1</v>
      </c>
      <c r="K51" s="60">
        <f t="shared" si="6"/>
        <v>181147</v>
      </c>
    </row>
    <row r="52" spans="1:12" ht="15.75" thickBot="1" x14ac:dyDescent="0.3">
      <c r="A52" s="559"/>
      <c r="B52" s="551"/>
      <c r="C52" s="633" t="s">
        <v>531</v>
      </c>
      <c r="D52" s="634"/>
      <c r="E52" s="56" t="s">
        <v>532</v>
      </c>
      <c r="F52" s="32" t="s">
        <v>533</v>
      </c>
      <c r="G52" s="15">
        <v>4</v>
      </c>
      <c r="H52" s="59">
        <v>1800</v>
      </c>
      <c r="I52" s="114">
        <f t="shared" si="5"/>
        <v>7200</v>
      </c>
      <c r="J52" s="15">
        <v>2</v>
      </c>
      <c r="K52" s="60">
        <f t="shared" si="6"/>
        <v>3600</v>
      </c>
    </row>
    <row r="53" spans="1:12" ht="17.25" thickBot="1" x14ac:dyDescent="0.3">
      <c r="A53" s="112"/>
      <c r="B53" s="112"/>
      <c r="C53" s="112"/>
      <c r="D53" s="112"/>
      <c r="E53" s="112"/>
      <c r="F53" s="112" t="s">
        <v>534</v>
      </c>
      <c r="G53" s="112"/>
      <c r="H53" s="112"/>
      <c r="I53" s="118">
        <f>SUM(I47:I52)</f>
        <v>1340771.5</v>
      </c>
      <c r="J53" s="112"/>
      <c r="K53" s="119">
        <f>SUM(K47:K52)</f>
        <v>743556.75</v>
      </c>
    </row>
    <row r="55" spans="1:12" ht="15.75" thickBot="1" x14ac:dyDescent="0.3">
      <c r="B55" s="195"/>
      <c r="C55" s="195"/>
      <c r="D55" s="195"/>
      <c r="E55" s="195"/>
      <c r="I55"/>
    </row>
    <row r="56" spans="1:12" ht="33.75" thickBot="1" x14ac:dyDescent="0.3">
      <c r="A56" s="314" t="s">
        <v>228</v>
      </c>
      <c r="B56" s="597" t="s">
        <v>573</v>
      </c>
      <c r="C56" s="555"/>
      <c r="D56" s="555"/>
      <c r="E56" s="131"/>
      <c r="F56" s="314" t="s">
        <v>85</v>
      </c>
      <c r="G56" s="314" t="s">
        <v>229</v>
      </c>
      <c r="H56" s="314" t="s">
        <v>123</v>
      </c>
      <c r="I56" s="113" t="s">
        <v>230</v>
      </c>
      <c r="J56" s="314">
        <v>2023</v>
      </c>
      <c r="K56" s="314" t="s">
        <v>79</v>
      </c>
    </row>
    <row r="57" spans="1:12" ht="15.75" customHeight="1" thickBot="1" x14ac:dyDescent="0.3">
      <c r="A57" s="310" t="s">
        <v>572</v>
      </c>
      <c r="B57" s="604"/>
      <c r="C57" s="605"/>
      <c r="D57" s="605"/>
      <c r="E57" s="56" t="s">
        <v>196</v>
      </c>
      <c r="F57" s="104" t="s">
        <v>197</v>
      </c>
      <c r="G57" s="47">
        <v>2</v>
      </c>
      <c r="H57" s="72">
        <f>'TABLA GENERAL'!D262</f>
        <v>68118</v>
      </c>
      <c r="I57" s="114">
        <f>+H57*G57</f>
        <v>136236</v>
      </c>
      <c r="J57" s="47">
        <v>2</v>
      </c>
      <c r="K57" s="60">
        <f>J57*H57</f>
        <v>136236</v>
      </c>
    </row>
    <row r="58" spans="1:12" ht="17.25" thickBot="1" x14ac:dyDescent="0.3">
      <c r="A58" s="112"/>
      <c r="B58" s="112"/>
      <c r="C58" s="112"/>
      <c r="D58" s="112"/>
      <c r="E58" s="112"/>
      <c r="F58" s="112" t="s">
        <v>574</v>
      </c>
      <c r="G58" s="112"/>
      <c r="H58" s="112"/>
      <c r="I58" s="118">
        <f>SUM(I57:I57)</f>
        <v>136236</v>
      </c>
      <c r="J58" s="112"/>
      <c r="K58" s="119">
        <f>SUM(K57:K57)</f>
        <v>136236</v>
      </c>
    </row>
    <row r="60" spans="1:12" ht="15.75" thickBot="1" x14ac:dyDescent="0.3"/>
    <row r="61" spans="1:12" ht="19.5" thickBot="1" x14ac:dyDescent="0.35">
      <c r="A61" s="132"/>
      <c r="B61" s="132"/>
      <c r="C61" s="132"/>
      <c r="D61" s="132"/>
      <c r="E61" s="132"/>
      <c r="F61" s="592"/>
      <c r="G61" s="593"/>
      <c r="H61" s="593"/>
      <c r="I61" s="594"/>
      <c r="J61" s="593"/>
      <c r="K61" s="594"/>
    </row>
    <row r="62" spans="1:12" ht="18.75" thickBot="1" x14ac:dyDescent="0.3">
      <c r="A62" s="586" t="s">
        <v>589</v>
      </c>
      <c r="B62" s="587"/>
      <c r="C62" s="587"/>
      <c r="D62" s="587"/>
      <c r="E62" s="587"/>
      <c r="F62" s="588"/>
      <c r="G62" s="592" t="s">
        <v>230</v>
      </c>
      <c r="H62" s="593"/>
      <c r="I62" s="594"/>
      <c r="J62" s="595">
        <v>2023</v>
      </c>
      <c r="K62" s="596"/>
    </row>
    <row r="63" spans="1:12" ht="18.75" thickBot="1" x14ac:dyDescent="0.3">
      <c r="A63" s="589"/>
      <c r="B63" s="590"/>
      <c r="C63" s="590"/>
      <c r="D63" s="590"/>
      <c r="E63" s="590"/>
      <c r="F63" s="591"/>
      <c r="G63" s="599" t="e">
        <f>(O6+O30+O42+O53+#REF!+#REF!+#REF!+O58+#REF!+#REF!+#REF!+#REF!)</f>
        <v>#REF!</v>
      </c>
      <c r="H63" s="600"/>
      <c r="I63" s="133"/>
      <c r="J63" s="599">
        <v>2500000</v>
      </c>
      <c r="K63" s="601"/>
      <c r="L63" s="14">
        <f>+K58+K53+K42+K30+K6</f>
        <v>2511625.2000000002</v>
      </c>
    </row>
    <row r="64" spans="1:12" x14ac:dyDescent="0.25">
      <c r="I64"/>
      <c r="K64" s="14"/>
      <c r="L64" s="14">
        <f>+L63-J63</f>
        <v>11625.200000000186</v>
      </c>
    </row>
    <row r="65" spans="9:11" x14ac:dyDescent="0.25">
      <c r="I65"/>
      <c r="K65" s="14"/>
    </row>
    <row r="67" spans="9:11" x14ac:dyDescent="0.25">
      <c r="I67"/>
    </row>
  </sheetData>
  <mergeCells count="27">
    <mergeCell ref="G63:H63"/>
    <mergeCell ref="J2:K2"/>
    <mergeCell ref="J3:K3"/>
    <mergeCell ref="J61:K61"/>
    <mergeCell ref="J62:K62"/>
    <mergeCell ref="J63:K63"/>
    <mergeCell ref="F61:I61"/>
    <mergeCell ref="A62:F63"/>
    <mergeCell ref="G62:I62"/>
    <mergeCell ref="B56:D57"/>
    <mergeCell ref="A35:A41"/>
    <mergeCell ref="B35:B41"/>
    <mergeCell ref="C35:D40"/>
    <mergeCell ref="C41:D41"/>
    <mergeCell ref="A47:A52"/>
    <mergeCell ref="B47:B52"/>
    <mergeCell ref="C47:D49"/>
    <mergeCell ref="C50:D51"/>
    <mergeCell ref="C52:D52"/>
    <mergeCell ref="C5:D5"/>
    <mergeCell ref="B10:B14"/>
    <mergeCell ref="C11:D14"/>
    <mergeCell ref="B15:B29"/>
    <mergeCell ref="C15:C29"/>
    <mergeCell ref="D15:D26"/>
    <mergeCell ref="D27:D29"/>
    <mergeCell ref="B5:B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0"/>
  <sheetViews>
    <sheetView topLeftCell="A40" zoomScale="130" zoomScaleNormal="130" workbookViewId="0">
      <selection activeCell="I9" sqref="I9"/>
    </sheetView>
  </sheetViews>
  <sheetFormatPr baseColWidth="10" defaultColWidth="11.42578125" defaultRowHeight="15" x14ac:dyDescent="0.25"/>
  <cols>
    <col min="1" max="1" width="15.7109375" style="391" customWidth="1"/>
    <col min="2" max="2" width="58.5703125" style="391" customWidth="1"/>
    <col min="3" max="3" width="11.42578125" style="391" customWidth="1"/>
    <col min="4" max="4" width="16.7109375" style="27" bestFit="1" customWidth="1"/>
    <col min="5" max="5" width="18.42578125" style="27" bestFit="1" customWidth="1"/>
    <col min="6" max="6" width="2.28515625" style="255" customWidth="1"/>
    <col min="7" max="9" width="16.28515625" style="391" bestFit="1" customWidth="1"/>
    <col min="10" max="10" width="17.5703125" style="391" bestFit="1" customWidth="1"/>
    <col min="11" max="11" width="17.42578125" style="391" bestFit="1" customWidth="1"/>
    <col min="12" max="16384" width="11.42578125" style="391"/>
  </cols>
  <sheetData>
    <row r="1" spans="1:9" thickBot="1" x14ac:dyDescent="0.35"/>
    <row r="2" spans="1:9" ht="28.15" thickBot="1" x14ac:dyDescent="0.35">
      <c r="A2" s="395" t="s">
        <v>228</v>
      </c>
      <c r="B2" s="395" t="s">
        <v>85</v>
      </c>
      <c r="C2" s="395" t="s">
        <v>229</v>
      </c>
      <c r="D2" s="25" t="s">
        <v>123</v>
      </c>
      <c r="E2" s="25" t="s">
        <v>230</v>
      </c>
      <c r="G2" s="25" t="s">
        <v>753</v>
      </c>
    </row>
    <row r="3" spans="1:9" ht="30.75" thickBot="1" x14ac:dyDescent="0.3">
      <c r="A3" s="550" t="s">
        <v>224</v>
      </c>
      <c r="B3" s="48" t="s">
        <v>235</v>
      </c>
      <c r="C3" s="47">
        <v>2</v>
      </c>
      <c r="D3" s="44">
        <v>35321</v>
      </c>
      <c r="E3" s="44">
        <f>D3*C3</f>
        <v>70642</v>
      </c>
      <c r="G3" s="204"/>
    </row>
    <row r="4" spans="1:9" ht="15.75" thickBot="1" x14ac:dyDescent="0.3">
      <c r="A4" s="551"/>
      <c r="B4" s="32" t="s">
        <v>237</v>
      </c>
      <c r="C4" s="15">
        <v>2</v>
      </c>
      <c r="D4" s="44">
        <v>17579</v>
      </c>
      <c r="E4" s="44">
        <f t="shared" ref="E4:E48" si="0">D4*C4</f>
        <v>35158</v>
      </c>
      <c r="G4" s="203"/>
    </row>
    <row r="5" spans="1:9" ht="15.75" thickBot="1" x14ac:dyDescent="0.3">
      <c r="A5" s="551"/>
      <c r="B5" s="32" t="s">
        <v>239</v>
      </c>
      <c r="C5" s="15">
        <v>2</v>
      </c>
      <c r="D5" s="44">
        <v>24779</v>
      </c>
      <c r="E5" s="44">
        <f t="shared" si="0"/>
        <v>49558</v>
      </c>
      <c r="G5" s="203"/>
    </row>
    <row r="6" spans="1:9" ht="15.75" thickBot="1" x14ac:dyDescent="0.3">
      <c r="A6" s="551"/>
      <c r="B6" s="32" t="s">
        <v>241</v>
      </c>
      <c r="C6" s="15">
        <v>2</v>
      </c>
      <c r="D6" s="44">
        <v>22458</v>
      </c>
      <c r="E6" s="44">
        <f t="shared" si="0"/>
        <v>44916</v>
      </c>
      <c r="G6" s="203"/>
      <c r="I6" s="42"/>
    </row>
    <row r="7" spans="1:9" ht="30.75" thickBot="1" x14ac:dyDescent="0.3">
      <c r="A7" s="551"/>
      <c r="B7" s="32" t="s">
        <v>243</v>
      </c>
      <c r="C7" s="15">
        <v>2</v>
      </c>
      <c r="D7" s="44">
        <v>63048</v>
      </c>
      <c r="E7" s="44">
        <f t="shared" si="0"/>
        <v>126096</v>
      </c>
      <c r="G7" s="203"/>
    </row>
    <row r="8" spans="1:9" ht="30.75" thickBot="1" x14ac:dyDescent="0.3">
      <c r="A8" s="551"/>
      <c r="B8" s="32" t="s">
        <v>245</v>
      </c>
      <c r="C8" s="15">
        <v>2</v>
      </c>
      <c r="D8" s="44">
        <v>81814</v>
      </c>
      <c r="E8" s="44">
        <f t="shared" si="0"/>
        <v>163628</v>
      </c>
      <c r="G8" s="203"/>
    </row>
    <row r="9" spans="1:9" ht="15.75" thickBot="1" x14ac:dyDescent="0.3">
      <c r="A9" s="551"/>
      <c r="B9" s="32" t="s">
        <v>247</v>
      </c>
      <c r="C9" s="15">
        <v>16</v>
      </c>
      <c r="D9" s="44">
        <v>141</v>
      </c>
      <c r="E9" s="44">
        <f t="shared" si="0"/>
        <v>2256</v>
      </c>
      <c r="G9" s="203"/>
    </row>
    <row r="10" spans="1:9" ht="15.75" thickBot="1" x14ac:dyDescent="0.3">
      <c r="A10" s="551"/>
      <c r="B10" s="32" t="s">
        <v>249</v>
      </c>
      <c r="C10" s="15">
        <v>16</v>
      </c>
      <c r="D10" s="44">
        <v>6243</v>
      </c>
      <c r="E10" s="44">
        <f t="shared" si="0"/>
        <v>99888</v>
      </c>
      <c r="G10" s="203"/>
    </row>
    <row r="11" spans="1:9" ht="15.75" thickBot="1" x14ac:dyDescent="0.3">
      <c r="A11" s="551"/>
      <c r="B11" s="32" t="s">
        <v>251</v>
      </c>
      <c r="C11" s="15">
        <v>10</v>
      </c>
      <c r="D11" s="44">
        <v>6877</v>
      </c>
      <c r="E11" s="44">
        <f t="shared" si="0"/>
        <v>68770</v>
      </c>
      <c r="G11" s="203"/>
    </row>
    <row r="12" spans="1:9" ht="15.75" thickBot="1" x14ac:dyDescent="0.3">
      <c r="A12" s="551"/>
      <c r="B12" s="32" t="s">
        <v>688</v>
      </c>
      <c r="C12" s="15">
        <v>10</v>
      </c>
      <c r="D12" s="44">
        <v>4929</v>
      </c>
      <c r="E12" s="44">
        <f t="shared" si="0"/>
        <v>49290</v>
      </c>
      <c r="G12" s="203"/>
    </row>
    <row r="13" spans="1:9" ht="15.75" thickBot="1" x14ac:dyDescent="0.3">
      <c r="A13" s="551"/>
      <c r="B13" s="32" t="s">
        <v>689</v>
      </c>
      <c r="C13" s="15">
        <v>3</v>
      </c>
      <c r="D13" s="44">
        <v>3450</v>
      </c>
      <c r="E13" s="44">
        <f t="shared" si="0"/>
        <v>10350</v>
      </c>
      <c r="G13" s="203"/>
    </row>
    <row r="14" spans="1:9" ht="15.75" thickBot="1" x14ac:dyDescent="0.3">
      <c r="A14" s="551"/>
      <c r="B14" s="32" t="s">
        <v>690</v>
      </c>
      <c r="C14" s="15">
        <v>2</v>
      </c>
      <c r="D14" s="44">
        <v>821</v>
      </c>
      <c r="E14" s="44">
        <f t="shared" si="0"/>
        <v>1642</v>
      </c>
      <c r="G14" s="203"/>
    </row>
    <row r="15" spans="1:9" ht="15.75" thickBot="1" x14ac:dyDescent="0.3">
      <c r="A15" s="551"/>
      <c r="B15" s="32" t="s">
        <v>691</v>
      </c>
      <c r="C15" s="15">
        <v>3</v>
      </c>
      <c r="D15" s="44">
        <v>1314</v>
      </c>
      <c r="E15" s="44">
        <f t="shared" si="0"/>
        <v>3942</v>
      </c>
      <c r="G15" s="203"/>
    </row>
    <row r="16" spans="1:9" ht="15.75" thickBot="1" x14ac:dyDescent="0.3">
      <c r="A16" s="551"/>
      <c r="B16" s="32" t="s">
        <v>253</v>
      </c>
      <c r="C16" s="15">
        <v>2</v>
      </c>
      <c r="D16" s="44">
        <v>27035</v>
      </c>
      <c r="E16" s="44">
        <f t="shared" si="0"/>
        <v>54070</v>
      </c>
      <c r="G16" s="203"/>
    </row>
    <row r="17" spans="1:7" ht="15.75" thickBot="1" x14ac:dyDescent="0.3">
      <c r="A17" s="551"/>
      <c r="B17" s="32" t="s">
        <v>255</v>
      </c>
      <c r="C17" s="15">
        <v>4</v>
      </c>
      <c r="D17" s="44">
        <v>421</v>
      </c>
      <c r="E17" s="44">
        <f t="shared" si="0"/>
        <v>1684</v>
      </c>
      <c r="G17" s="203"/>
    </row>
    <row r="18" spans="1:7" ht="15.75" thickBot="1" x14ac:dyDescent="0.3">
      <c r="A18" s="551"/>
      <c r="B18" s="32" t="s">
        <v>692</v>
      </c>
      <c r="C18" s="15">
        <v>1</v>
      </c>
      <c r="D18" s="44">
        <v>34500</v>
      </c>
      <c r="E18" s="44">
        <f t="shared" si="0"/>
        <v>34500</v>
      </c>
      <c r="G18" s="203"/>
    </row>
    <row r="19" spans="1:7" ht="15.75" thickBot="1" x14ac:dyDescent="0.3">
      <c r="A19" s="551"/>
      <c r="B19" s="32" t="s">
        <v>258</v>
      </c>
      <c r="C19" s="15">
        <v>2</v>
      </c>
      <c r="D19" s="44">
        <v>27984</v>
      </c>
      <c r="E19" s="44">
        <f t="shared" si="0"/>
        <v>55968</v>
      </c>
      <c r="G19" s="203"/>
    </row>
    <row r="20" spans="1:7" ht="15.75" thickBot="1" x14ac:dyDescent="0.3">
      <c r="A20" s="551"/>
      <c r="B20" s="32" t="s">
        <v>260</v>
      </c>
      <c r="C20" s="15">
        <v>14</v>
      </c>
      <c r="D20" s="44">
        <v>1655</v>
      </c>
      <c r="E20" s="44">
        <f t="shared" si="0"/>
        <v>23170</v>
      </c>
      <c r="G20" s="203"/>
    </row>
    <row r="21" spans="1:7" ht="15.75" thickBot="1" x14ac:dyDescent="0.3">
      <c r="A21" s="551"/>
      <c r="B21" s="32" t="s">
        <v>262</v>
      </c>
      <c r="C21" s="15">
        <v>2</v>
      </c>
      <c r="D21" s="44">
        <v>11477</v>
      </c>
      <c r="E21" s="44">
        <f t="shared" si="0"/>
        <v>22954</v>
      </c>
      <c r="G21" s="203"/>
    </row>
    <row r="22" spans="1:7" ht="15.75" thickBot="1" x14ac:dyDescent="0.3">
      <c r="A22" s="551"/>
      <c r="B22" s="32" t="s">
        <v>264</v>
      </c>
      <c r="C22" s="15">
        <v>1</v>
      </c>
      <c r="D22" s="44">
        <v>44356</v>
      </c>
      <c r="E22" s="44">
        <f t="shared" si="0"/>
        <v>44356</v>
      </c>
      <c r="G22" s="203"/>
    </row>
    <row r="23" spans="1:7" ht="15.75" thickBot="1" x14ac:dyDescent="0.3">
      <c r="A23" s="551"/>
      <c r="B23" s="32" t="s">
        <v>266</v>
      </c>
      <c r="C23" s="15">
        <v>36</v>
      </c>
      <c r="D23" s="44">
        <v>107</v>
      </c>
      <c r="E23" s="44">
        <f t="shared" si="0"/>
        <v>3852</v>
      </c>
      <c r="G23" s="203"/>
    </row>
    <row r="24" spans="1:7" ht="15.75" thickBot="1" x14ac:dyDescent="0.3">
      <c r="A24" s="551"/>
      <c r="B24" s="32" t="s">
        <v>268</v>
      </c>
      <c r="C24" s="15">
        <v>13</v>
      </c>
      <c r="D24" s="44">
        <v>1484</v>
      </c>
      <c r="E24" s="44">
        <f t="shared" si="0"/>
        <v>19292</v>
      </c>
      <c r="G24" s="203"/>
    </row>
    <row r="25" spans="1:7" ht="15.75" thickBot="1" x14ac:dyDescent="0.3">
      <c r="A25" s="551"/>
      <c r="B25" s="32" t="s">
        <v>269</v>
      </c>
      <c r="C25" s="15">
        <v>2</v>
      </c>
      <c r="D25" s="44">
        <v>312143</v>
      </c>
      <c r="E25" s="44">
        <f t="shared" si="0"/>
        <v>624286</v>
      </c>
      <c r="G25" s="203"/>
    </row>
    <row r="26" spans="1:7" ht="15.75" thickBot="1" x14ac:dyDescent="0.3">
      <c r="A26" s="551"/>
      <c r="B26" s="32" t="s">
        <v>693</v>
      </c>
      <c r="C26" s="15">
        <v>2</v>
      </c>
      <c r="D26" s="44">
        <v>17579</v>
      </c>
      <c r="E26" s="44">
        <f t="shared" si="0"/>
        <v>35158</v>
      </c>
      <c r="G26" s="203"/>
    </row>
    <row r="27" spans="1:7" ht="15.75" thickBot="1" x14ac:dyDescent="0.3">
      <c r="A27" s="551"/>
      <c r="B27" s="32" t="s">
        <v>694</v>
      </c>
      <c r="C27" s="15">
        <v>1</v>
      </c>
      <c r="D27" s="44">
        <v>68138</v>
      </c>
      <c r="E27" s="44">
        <f t="shared" si="0"/>
        <v>68138</v>
      </c>
      <c r="G27" s="203"/>
    </row>
    <row r="28" spans="1:7" ht="15.75" thickBot="1" x14ac:dyDescent="0.3">
      <c r="A28" s="551"/>
      <c r="B28" s="32" t="s">
        <v>695</v>
      </c>
      <c r="C28" s="15">
        <v>11</v>
      </c>
      <c r="D28" s="44">
        <v>47779</v>
      </c>
      <c r="E28" s="44">
        <f t="shared" si="0"/>
        <v>525569</v>
      </c>
      <c r="G28" s="203"/>
    </row>
    <row r="29" spans="1:7" ht="15.75" thickBot="1" x14ac:dyDescent="0.3">
      <c r="A29" s="551"/>
      <c r="B29" s="32" t="s">
        <v>696</v>
      </c>
      <c r="C29" s="15">
        <v>4</v>
      </c>
      <c r="D29" s="44">
        <v>40845</v>
      </c>
      <c r="E29" s="44">
        <f t="shared" si="0"/>
        <v>163380</v>
      </c>
      <c r="G29" s="203"/>
    </row>
    <row r="30" spans="1:7" ht="15.75" thickBot="1" x14ac:dyDescent="0.3">
      <c r="A30" s="551"/>
      <c r="B30" s="32" t="s">
        <v>697</v>
      </c>
      <c r="C30" s="15">
        <v>152</v>
      </c>
      <c r="D30" s="44">
        <v>16636</v>
      </c>
      <c r="E30" s="44">
        <f t="shared" si="0"/>
        <v>2528672</v>
      </c>
      <c r="G30" s="203"/>
    </row>
    <row r="31" spans="1:7" ht="15.75" thickBot="1" x14ac:dyDescent="0.3">
      <c r="A31" s="551"/>
      <c r="B31" s="32" t="s">
        <v>698</v>
      </c>
      <c r="C31" s="15">
        <v>142</v>
      </c>
      <c r="D31" s="44">
        <v>1396</v>
      </c>
      <c r="E31" s="44">
        <f t="shared" si="0"/>
        <v>198232</v>
      </c>
      <c r="G31" s="203"/>
    </row>
    <row r="32" spans="1:7" ht="15.75" thickBot="1" x14ac:dyDescent="0.3">
      <c r="A32" s="551"/>
      <c r="B32" s="32" t="s">
        <v>282</v>
      </c>
      <c r="C32" s="15">
        <v>10</v>
      </c>
      <c r="D32" s="44">
        <v>5231</v>
      </c>
      <c r="E32" s="44">
        <f t="shared" si="0"/>
        <v>52310</v>
      </c>
      <c r="G32" s="203"/>
    </row>
    <row r="33" spans="1:7" ht="15.75" thickBot="1" x14ac:dyDescent="0.3">
      <c r="A33" s="551"/>
      <c r="B33" s="32" t="s">
        <v>284</v>
      </c>
      <c r="C33" s="15">
        <v>13</v>
      </c>
      <c r="D33" s="44">
        <v>3641</v>
      </c>
      <c r="E33" s="44">
        <f t="shared" si="0"/>
        <v>47333</v>
      </c>
      <c r="G33" s="203"/>
    </row>
    <row r="34" spans="1:7" ht="15.75" thickBot="1" x14ac:dyDescent="0.3">
      <c r="A34" s="551"/>
      <c r="B34" s="32" t="s">
        <v>699</v>
      </c>
      <c r="C34" s="15">
        <v>1</v>
      </c>
      <c r="D34" s="44">
        <v>259243</v>
      </c>
      <c r="E34" s="44">
        <f t="shared" si="0"/>
        <v>259243</v>
      </c>
      <c r="G34" s="203"/>
    </row>
    <row r="35" spans="1:7" ht="15.75" thickBot="1" x14ac:dyDescent="0.3">
      <c r="A35" s="551"/>
      <c r="B35" s="32" t="s">
        <v>287</v>
      </c>
      <c r="C35" s="15">
        <v>2</v>
      </c>
      <c r="D35" s="44">
        <v>123893</v>
      </c>
      <c r="E35" s="44">
        <f t="shared" si="0"/>
        <v>247786</v>
      </c>
      <c r="G35" s="203"/>
    </row>
    <row r="36" spans="1:7" ht="15.75" thickBot="1" x14ac:dyDescent="0.3">
      <c r="A36" s="551"/>
      <c r="B36" s="32" t="s">
        <v>289</v>
      </c>
      <c r="C36" s="15">
        <v>10</v>
      </c>
      <c r="D36" s="44">
        <v>57181</v>
      </c>
      <c r="E36" s="44">
        <f t="shared" si="0"/>
        <v>571810</v>
      </c>
      <c r="G36" s="203"/>
    </row>
    <row r="37" spans="1:7" ht="15.75" thickBot="1" x14ac:dyDescent="0.3">
      <c r="A37" s="551"/>
      <c r="B37" s="32" t="s">
        <v>700</v>
      </c>
      <c r="C37" s="15">
        <v>2</v>
      </c>
      <c r="D37" s="44">
        <v>37378</v>
      </c>
      <c r="E37" s="44">
        <f t="shared" si="0"/>
        <v>74756</v>
      </c>
      <c r="G37" s="203"/>
    </row>
    <row r="38" spans="1:7" ht="15.75" thickBot="1" x14ac:dyDescent="0.3">
      <c r="A38" s="551"/>
      <c r="B38" s="32" t="s">
        <v>701</v>
      </c>
      <c r="C38" s="15">
        <v>2</v>
      </c>
      <c r="D38" s="44">
        <v>11171</v>
      </c>
      <c r="E38" s="44">
        <f t="shared" si="0"/>
        <v>22342</v>
      </c>
      <c r="G38" s="203"/>
    </row>
    <row r="39" spans="1:7" ht="15.75" thickBot="1" x14ac:dyDescent="0.3">
      <c r="A39" s="551"/>
      <c r="B39" s="32" t="s">
        <v>292</v>
      </c>
      <c r="C39" s="15">
        <v>2</v>
      </c>
      <c r="D39" s="44">
        <v>29368</v>
      </c>
      <c r="E39" s="44">
        <f t="shared" si="0"/>
        <v>58736</v>
      </c>
      <c r="G39" s="203"/>
    </row>
    <row r="40" spans="1:7" ht="15.75" thickBot="1" x14ac:dyDescent="0.3">
      <c r="A40" s="551"/>
      <c r="B40" s="32" t="s">
        <v>294</v>
      </c>
      <c r="C40" s="15">
        <v>1</v>
      </c>
      <c r="D40" s="44">
        <v>26082</v>
      </c>
      <c r="E40" s="44">
        <f t="shared" si="0"/>
        <v>26082</v>
      </c>
      <c r="G40" s="203"/>
    </row>
    <row r="41" spans="1:7" ht="15.75" thickBot="1" x14ac:dyDescent="0.3">
      <c r="A41" s="551"/>
      <c r="B41" s="32" t="s">
        <v>296</v>
      </c>
      <c r="C41" s="15">
        <v>10</v>
      </c>
      <c r="D41" s="44">
        <v>44012</v>
      </c>
      <c r="E41" s="44">
        <f t="shared" si="0"/>
        <v>440120</v>
      </c>
      <c r="G41" s="203"/>
    </row>
    <row r="42" spans="1:7" ht="15.75" thickBot="1" x14ac:dyDescent="0.3">
      <c r="A42" s="551"/>
      <c r="B42" s="32" t="s">
        <v>299</v>
      </c>
      <c r="C42" s="15">
        <v>2</v>
      </c>
      <c r="D42" s="44">
        <v>25629</v>
      </c>
      <c r="E42" s="44">
        <f t="shared" si="0"/>
        <v>51258</v>
      </c>
      <c r="G42" s="203"/>
    </row>
    <row r="43" spans="1:7" ht="15.75" thickBot="1" x14ac:dyDescent="0.3">
      <c r="A43" s="551"/>
      <c r="B43" s="32" t="s">
        <v>702</v>
      </c>
      <c r="C43" s="15">
        <v>3</v>
      </c>
      <c r="D43" s="44">
        <v>15771</v>
      </c>
      <c r="E43" s="44">
        <f t="shared" si="0"/>
        <v>47313</v>
      </c>
      <c r="G43" s="203"/>
    </row>
    <row r="44" spans="1:7" ht="15.75" thickBot="1" x14ac:dyDescent="0.3">
      <c r="A44" s="551"/>
      <c r="B44" s="32" t="s">
        <v>703</v>
      </c>
      <c r="C44" s="15">
        <v>3</v>
      </c>
      <c r="D44" s="44">
        <v>9834</v>
      </c>
      <c r="E44" s="44">
        <f t="shared" si="0"/>
        <v>29502</v>
      </c>
      <c r="G44" s="203"/>
    </row>
    <row r="45" spans="1:7" ht="15.75" thickBot="1" x14ac:dyDescent="0.3">
      <c r="A45" s="551"/>
      <c r="B45" s="32" t="s">
        <v>301</v>
      </c>
      <c r="C45" s="15">
        <v>3</v>
      </c>
      <c r="D45" s="44">
        <v>2744</v>
      </c>
      <c r="E45" s="44">
        <f t="shared" si="0"/>
        <v>8232</v>
      </c>
      <c r="G45" s="203"/>
    </row>
    <row r="46" spans="1:7" ht="15.75" thickBot="1" x14ac:dyDescent="0.3">
      <c r="A46" s="551"/>
      <c r="B46" s="32" t="s">
        <v>303</v>
      </c>
      <c r="C46" s="15">
        <v>2</v>
      </c>
      <c r="D46" s="44">
        <v>71054</v>
      </c>
      <c r="E46" s="44">
        <f t="shared" si="0"/>
        <v>142108</v>
      </c>
      <c r="G46" s="203"/>
    </row>
    <row r="47" spans="1:7" ht="15.75" thickBot="1" x14ac:dyDescent="0.3">
      <c r="A47" s="551"/>
      <c r="B47" s="32" t="s">
        <v>305</v>
      </c>
      <c r="C47" s="15">
        <v>2</v>
      </c>
      <c r="D47" s="44">
        <v>80516</v>
      </c>
      <c r="E47" s="44">
        <f t="shared" si="0"/>
        <v>161032</v>
      </c>
      <c r="G47" s="203"/>
    </row>
    <row r="48" spans="1:7" ht="15.75" thickBot="1" x14ac:dyDescent="0.3">
      <c r="A48" s="552"/>
      <c r="B48" s="57" t="s">
        <v>704</v>
      </c>
      <c r="C48" s="51">
        <v>1</v>
      </c>
      <c r="D48" s="44">
        <v>670956</v>
      </c>
      <c r="E48" s="44">
        <f t="shared" si="0"/>
        <v>670956</v>
      </c>
      <c r="G48" s="205"/>
    </row>
    <row r="49" spans="1:7" ht="17.25" thickBot="1" x14ac:dyDescent="0.3">
      <c r="A49" s="112"/>
      <c r="B49" s="112" t="s">
        <v>308</v>
      </c>
      <c r="C49" s="112"/>
      <c r="D49" s="201"/>
      <c r="E49" s="201">
        <f>SUM(E3:E48)</f>
        <v>8040336</v>
      </c>
      <c r="G49" s="201"/>
    </row>
    <row r="50" spans="1:7" x14ac:dyDescent="0.25">
      <c r="G50" s="27"/>
    </row>
    <row r="51" spans="1:7" x14ac:dyDescent="0.25">
      <c r="G51" s="27"/>
    </row>
    <row r="52" spans="1:7" ht="15.75" thickBot="1" x14ac:dyDescent="0.3">
      <c r="G52" s="27"/>
    </row>
    <row r="53" spans="1:7" ht="33.75" thickBot="1" x14ac:dyDescent="0.3">
      <c r="A53" s="395" t="s">
        <v>228</v>
      </c>
      <c r="B53" s="112" t="s">
        <v>85</v>
      </c>
      <c r="C53" s="395" t="s">
        <v>229</v>
      </c>
      <c r="D53" s="25" t="s">
        <v>123</v>
      </c>
      <c r="E53" s="25" t="s">
        <v>230</v>
      </c>
      <c r="G53" s="25"/>
    </row>
    <row r="54" spans="1:7" ht="15.75" thickBot="1" x14ac:dyDescent="0.3">
      <c r="A54" s="553" t="s">
        <v>309</v>
      </c>
      <c r="B54" s="199" t="s">
        <v>705</v>
      </c>
      <c r="C54" s="47">
        <v>65</v>
      </c>
      <c r="D54" s="44">
        <v>3150</v>
      </c>
      <c r="E54" s="44">
        <f t="shared" ref="E54:E108" si="1">D54*C54</f>
        <v>204750</v>
      </c>
      <c r="G54" s="204"/>
    </row>
    <row r="55" spans="1:7" ht="15.75" thickBot="1" x14ac:dyDescent="0.3">
      <c r="A55" s="554"/>
      <c r="B55" s="32" t="s">
        <v>706</v>
      </c>
      <c r="C55" s="15">
        <v>1100</v>
      </c>
      <c r="D55" s="44">
        <v>36.96</v>
      </c>
      <c r="E55" s="44">
        <f t="shared" si="1"/>
        <v>40656</v>
      </c>
      <c r="G55" s="203"/>
    </row>
    <row r="56" spans="1:7" ht="30.75" thickBot="1" x14ac:dyDescent="0.3">
      <c r="A56" s="554"/>
      <c r="B56" s="32" t="s">
        <v>313</v>
      </c>
      <c r="C56" s="15">
        <v>42</v>
      </c>
      <c r="D56" s="44">
        <v>739</v>
      </c>
      <c r="E56" s="44">
        <f t="shared" si="1"/>
        <v>31038</v>
      </c>
      <c r="G56" s="203"/>
    </row>
    <row r="57" spans="1:7" ht="15.75" thickBot="1" x14ac:dyDescent="0.3">
      <c r="A57" s="554"/>
      <c r="B57" s="32" t="s">
        <v>315</v>
      </c>
      <c r="C57" s="15">
        <v>84</v>
      </c>
      <c r="D57" s="44">
        <v>2300</v>
      </c>
      <c r="E57" s="44">
        <f t="shared" si="1"/>
        <v>193200</v>
      </c>
      <c r="G57" s="203"/>
    </row>
    <row r="58" spans="1:7" ht="15.75" thickBot="1" x14ac:dyDescent="0.3">
      <c r="A58" s="554"/>
      <c r="B58" s="32" t="s">
        <v>93</v>
      </c>
      <c r="C58" s="15">
        <v>125</v>
      </c>
      <c r="D58" s="44">
        <v>1690</v>
      </c>
      <c r="E58" s="44">
        <f t="shared" si="1"/>
        <v>211250</v>
      </c>
      <c r="G58" s="203"/>
    </row>
    <row r="59" spans="1:7" ht="15.75" thickBot="1" x14ac:dyDescent="0.3">
      <c r="A59" s="554"/>
      <c r="B59" s="32" t="s">
        <v>91</v>
      </c>
      <c r="C59" s="15">
        <v>140</v>
      </c>
      <c r="D59" s="44">
        <v>13300</v>
      </c>
      <c r="E59" s="44">
        <f t="shared" si="1"/>
        <v>1862000</v>
      </c>
      <c r="G59" s="203"/>
    </row>
    <row r="60" spans="1:7" ht="15.75" thickBot="1" x14ac:dyDescent="0.3">
      <c r="A60" s="554"/>
      <c r="B60" s="32" t="s">
        <v>317</v>
      </c>
      <c r="C60" s="15">
        <v>42</v>
      </c>
      <c r="D60" s="44">
        <v>314</v>
      </c>
      <c r="E60" s="44">
        <f t="shared" si="1"/>
        <v>13188</v>
      </c>
      <c r="G60" s="30"/>
    </row>
    <row r="61" spans="1:7" ht="15.75" thickBot="1" x14ac:dyDescent="0.3">
      <c r="A61" s="554"/>
      <c r="B61" s="32" t="s">
        <v>319</v>
      </c>
      <c r="C61" s="15">
        <v>70</v>
      </c>
      <c r="D61" s="44">
        <v>139.66999999999999</v>
      </c>
      <c r="E61" s="44">
        <f t="shared" si="1"/>
        <v>9776.9</v>
      </c>
      <c r="G61" s="203"/>
    </row>
    <row r="62" spans="1:7" ht="15.75" thickBot="1" x14ac:dyDescent="0.3">
      <c r="A62" s="554"/>
      <c r="B62" s="32" t="s">
        <v>321</v>
      </c>
      <c r="C62" s="15">
        <v>165</v>
      </c>
      <c r="D62" s="44">
        <v>315</v>
      </c>
      <c r="E62" s="44">
        <f t="shared" si="1"/>
        <v>51975</v>
      </c>
      <c r="G62" s="203"/>
    </row>
    <row r="63" spans="1:7" ht="15.75" thickBot="1" x14ac:dyDescent="0.3">
      <c r="A63" s="554"/>
      <c r="B63" s="32" t="s">
        <v>323</v>
      </c>
      <c r="C63" s="15">
        <v>6</v>
      </c>
      <c r="D63" s="44">
        <v>250</v>
      </c>
      <c r="E63" s="44">
        <f t="shared" si="1"/>
        <v>1500</v>
      </c>
      <c r="G63" s="203"/>
    </row>
    <row r="64" spans="1:7" ht="15.75" thickBot="1" x14ac:dyDescent="0.3">
      <c r="A64" s="554"/>
      <c r="B64" s="32" t="s">
        <v>707</v>
      </c>
      <c r="C64" s="15">
        <v>21</v>
      </c>
      <c r="D64" s="44">
        <v>1495</v>
      </c>
      <c r="E64" s="44">
        <f t="shared" si="1"/>
        <v>31395</v>
      </c>
      <c r="G64" s="30"/>
    </row>
    <row r="65" spans="1:7" ht="15.75" thickBot="1" x14ac:dyDescent="0.3">
      <c r="A65" s="554"/>
      <c r="B65" s="32" t="s">
        <v>708</v>
      </c>
      <c r="C65" s="15">
        <v>4</v>
      </c>
      <c r="D65" s="44">
        <v>18118</v>
      </c>
      <c r="E65" s="44">
        <f t="shared" si="1"/>
        <v>72472</v>
      </c>
      <c r="G65" s="30"/>
    </row>
    <row r="66" spans="1:7" ht="15.75" thickBot="1" x14ac:dyDescent="0.3">
      <c r="A66" s="554"/>
      <c r="B66" s="32" t="s">
        <v>325</v>
      </c>
      <c r="C66" s="15">
        <v>4</v>
      </c>
      <c r="D66" s="44">
        <v>34</v>
      </c>
      <c r="E66" s="44">
        <f t="shared" si="1"/>
        <v>136</v>
      </c>
      <c r="G66" s="30"/>
    </row>
    <row r="67" spans="1:7" ht="15.75" thickBot="1" x14ac:dyDescent="0.3">
      <c r="A67" s="554"/>
      <c r="B67" s="32" t="s">
        <v>327</v>
      </c>
      <c r="C67" s="15">
        <v>10</v>
      </c>
      <c r="D67" s="44">
        <v>2800</v>
      </c>
      <c r="E67" s="44">
        <f t="shared" si="1"/>
        <v>28000</v>
      </c>
      <c r="G67" s="203"/>
    </row>
    <row r="68" spans="1:7" ht="15.75" thickBot="1" x14ac:dyDescent="0.3">
      <c r="A68" s="554"/>
      <c r="B68" s="32" t="s">
        <v>329</v>
      </c>
      <c r="C68" s="15">
        <v>20</v>
      </c>
      <c r="D68" s="44">
        <v>2500</v>
      </c>
      <c r="E68" s="44">
        <f t="shared" si="1"/>
        <v>50000</v>
      </c>
      <c r="G68" s="30"/>
    </row>
    <row r="69" spans="1:7" ht="15.75" thickBot="1" x14ac:dyDescent="0.3">
      <c r="A69" s="554"/>
      <c r="B69" s="32" t="s">
        <v>331</v>
      </c>
      <c r="C69" s="15">
        <v>56</v>
      </c>
      <c r="D69" s="44">
        <v>712</v>
      </c>
      <c r="E69" s="44">
        <f t="shared" si="1"/>
        <v>39872</v>
      </c>
      <c r="G69" s="203"/>
    </row>
    <row r="70" spans="1:7" ht="15.75" thickBot="1" x14ac:dyDescent="0.3">
      <c r="A70" s="554"/>
      <c r="B70" s="32" t="s">
        <v>89</v>
      </c>
      <c r="C70" s="15">
        <v>28</v>
      </c>
      <c r="D70" s="44">
        <v>52896</v>
      </c>
      <c r="E70" s="44">
        <f t="shared" si="1"/>
        <v>1481088</v>
      </c>
      <c r="G70" s="30"/>
    </row>
    <row r="71" spans="1:7" ht="15.75" thickBot="1" x14ac:dyDescent="0.3">
      <c r="A71" s="554"/>
      <c r="B71" s="32" t="s">
        <v>334</v>
      </c>
      <c r="C71" s="15">
        <v>10</v>
      </c>
      <c r="D71" s="44">
        <v>2156</v>
      </c>
      <c r="E71" s="44">
        <f t="shared" si="1"/>
        <v>21560</v>
      </c>
      <c r="G71" s="30"/>
    </row>
    <row r="72" spans="1:7" ht="15.75" thickBot="1" x14ac:dyDescent="0.3">
      <c r="A72" s="554"/>
      <c r="B72" s="32" t="s">
        <v>336</v>
      </c>
      <c r="C72" s="15">
        <v>26</v>
      </c>
      <c r="D72" s="44">
        <v>340.34</v>
      </c>
      <c r="E72" s="44">
        <f t="shared" si="1"/>
        <v>8848.84</v>
      </c>
      <c r="G72" s="203"/>
    </row>
    <row r="73" spans="1:7" ht="15.75" thickBot="1" x14ac:dyDescent="0.3">
      <c r="A73" s="554"/>
      <c r="B73" s="32" t="s">
        <v>338</v>
      </c>
      <c r="C73" s="15">
        <v>56</v>
      </c>
      <c r="D73" s="44">
        <v>119.36</v>
      </c>
      <c r="E73" s="44">
        <f t="shared" si="1"/>
        <v>6684.16</v>
      </c>
      <c r="G73" s="203"/>
    </row>
    <row r="74" spans="1:7" ht="15.75" thickBot="1" x14ac:dyDescent="0.3">
      <c r="A74" s="554"/>
      <c r="B74" s="32" t="s">
        <v>340</v>
      </c>
      <c r="C74" s="15">
        <v>8</v>
      </c>
      <c r="D74" s="44">
        <v>35.51</v>
      </c>
      <c r="E74" s="44">
        <f t="shared" si="1"/>
        <v>284.08</v>
      </c>
      <c r="G74" s="203"/>
    </row>
    <row r="75" spans="1:7" ht="15.75" thickBot="1" x14ac:dyDescent="0.3">
      <c r="A75" s="554"/>
      <c r="B75" s="32" t="s">
        <v>342</v>
      </c>
      <c r="C75" s="15">
        <v>24</v>
      </c>
      <c r="D75" s="44">
        <v>313</v>
      </c>
      <c r="E75" s="44">
        <f t="shared" si="1"/>
        <v>7512</v>
      </c>
      <c r="G75" s="30"/>
    </row>
    <row r="76" spans="1:7" ht="15.75" thickBot="1" x14ac:dyDescent="0.3">
      <c r="A76" s="554"/>
      <c r="B76" s="32" t="s">
        <v>344</v>
      </c>
      <c r="C76" s="15">
        <v>24</v>
      </c>
      <c r="D76" s="44">
        <v>198.21</v>
      </c>
      <c r="E76" s="44">
        <f t="shared" si="1"/>
        <v>4757.04</v>
      </c>
      <c r="G76" s="203"/>
    </row>
    <row r="77" spans="1:7" ht="15.75" thickBot="1" x14ac:dyDescent="0.3">
      <c r="A77" s="554"/>
      <c r="B77" s="32" t="s">
        <v>346</v>
      </c>
      <c r="C77" s="20">
        <v>28</v>
      </c>
      <c r="D77" s="44">
        <v>660.47</v>
      </c>
      <c r="E77" s="44">
        <f t="shared" si="1"/>
        <v>18493.16</v>
      </c>
      <c r="G77" s="203"/>
    </row>
    <row r="78" spans="1:7" ht="15.75" thickBot="1" x14ac:dyDescent="0.3">
      <c r="A78" s="554"/>
      <c r="B78" s="32" t="s">
        <v>348</v>
      </c>
      <c r="C78" s="20">
        <v>56</v>
      </c>
      <c r="D78" s="44">
        <v>27.57</v>
      </c>
      <c r="E78" s="44">
        <f t="shared" si="1"/>
        <v>1543.92</v>
      </c>
      <c r="G78" s="203"/>
    </row>
    <row r="79" spans="1:7" ht="15.75" thickBot="1" x14ac:dyDescent="0.3">
      <c r="A79" s="554"/>
      <c r="B79" s="32" t="s">
        <v>350</v>
      </c>
      <c r="C79" s="20">
        <v>12</v>
      </c>
      <c r="D79" s="44">
        <f>99647/650</f>
        <v>153.30307692307693</v>
      </c>
      <c r="E79" s="44">
        <f t="shared" si="1"/>
        <v>1839.6369230769233</v>
      </c>
      <c r="G79" s="203"/>
    </row>
    <row r="80" spans="1:7" ht="15.75" thickBot="1" x14ac:dyDescent="0.3">
      <c r="A80" s="554"/>
      <c r="B80" s="32" t="s">
        <v>352</v>
      </c>
      <c r="C80" s="20">
        <v>8</v>
      </c>
      <c r="D80" s="44">
        <f>99647/650</f>
        <v>153.30307692307693</v>
      </c>
      <c r="E80" s="44">
        <f t="shared" si="1"/>
        <v>1226.4246153846154</v>
      </c>
      <c r="G80" s="203"/>
    </row>
    <row r="81" spans="1:7" ht="15.75" thickBot="1" x14ac:dyDescent="0.3">
      <c r="A81" s="554"/>
      <c r="B81" s="32" t="s">
        <v>354</v>
      </c>
      <c r="C81" s="20">
        <v>4</v>
      </c>
      <c r="D81" s="44">
        <v>3218</v>
      </c>
      <c r="E81" s="44">
        <f t="shared" si="1"/>
        <v>12872</v>
      </c>
      <c r="G81" s="202"/>
    </row>
    <row r="82" spans="1:7" ht="15.75" thickBot="1" x14ac:dyDescent="0.3">
      <c r="A82" s="554"/>
      <c r="B82" s="32" t="s">
        <v>356</v>
      </c>
      <c r="C82" s="20">
        <v>56</v>
      </c>
      <c r="D82" s="44">
        <v>64.36</v>
      </c>
      <c r="E82" s="44">
        <f t="shared" si="1"/>
        <v>3604.16</v>
      </c>
      <c r="G82" s="203"/>
    </row>
    <row r="83" spans="1:7" ht="15.75" thickBot="1" x14ac:dyDescent="0.3">
      <c r="A83" s="554"/>
      <c r="B83" s="32" t="s">
        <v>386</v>
      </c>
      <c r="C83" s="20">
        <v>56</v>
      </c>
      <c r="D83" s="44">
        <v>21.77</v>
      </c>
      <c r="E83" s="44">
        <f t="shared" si="1"/>
        <v>1219.1199999999999</v>
      </c>
      <c r="G83" s="203"/>
    </row>
    <row r="84" spans="1:7" ht="15.75" thickBot="1" x14ac:dyDescent="0.3">
      <c r="A84" s="554"/>
      <c r="B84" s="32" t="s">
        <v>388</v>
      </c>
      <c r="C84" s="20">
        <v>56</v>
      </c>
      <c r="D84" s="44">
        <v>13.49</v>
      </c>
      <c r="E84" s="44">
        <f t="shared" si="1"/>
        <v>755.44</v>
      </c>
      <c r="G84" s="203"/>
    </row>
    <row r="85" spans="1:7" ht="15.75" thickBot="1" x14ac:dyDescent="0.3">
      <c r="A85" s="554"/>
      <c r="B85" s="32" t="s">
        <v>358</v>
      </c>
      <c r="C85" s="20">
        <v>320</v>
      </c>
      <c r="D85" s="44">
        <f>99647/650</f>
        <v>153.30307692307693</v>
      </c>
      <c r="E85" s="44">
        <f t="shared" si="1"/>
        <v>49056.984615384616</v>
      </c>
      <c r="G85" s="203"/>
    </row>
    <row r="86" spans="1:7" ht="15.75" thickBot="1" x14ac:dyDescent="0.3">
      <c r="A86" s="554"/>
      <c r="B86" s="32" t="s">
        <v>360</v>
      </c>
      <c r="C86" s="20">
        <v>56</v>
      </c>
      <c r="D86" s="44">
        <v>12.99</v>
      </c>
      <c r="E86" s="44">
        <f t="shared" si="1"/>
        <v>727.44</v>
      </c>
      <c r="G86" s="203"/>
    </row>
    <row r="87" spans="1:7" ht="15.75" thickBot="1" x14ac:dyDescent="0.3">
      <c r="A87" s="554"/>
      <c r="B87" s="32" t="s">
        <v>362</v>
      </c>
      <c r="C87" s="20">
        <v>56</v>
      </c>
      <c r="D87" s="44">
        <v>10.47</v>
      </c>
      <c r="E87" s="44">
        <f t="shared" si="1"/>
        <v>586.32000000000005</v>
      </c>
      <c r="G87" s="203"/>
    </row>
    <row r="88" spans="1:7" ht="15.75" thickBot="1" x14ac:dyDescent="0.3">
      <c r="A88" s="554"/>
      <c r="B88" s="32" t="s">
        <v>364</v>
      </c>
      <c r="C88" s="20">
        <v>56</v>
      </c>
      <c r="D88" s="44">
        <v>15.6</v>
      </c>
      <c r="E88" s="44">
        <f t="shared" si="1"/>
        <v>873.6</v>
      </c>
      <c r="G88" s="203"/>
    </row>
    <row r="89" spans="1:7" ht="15.75" thickBot="1" x14ac:dyDescent="0.3">
      <c r="A89" s="554"/>
      <c r="B89" s="32" t="s">
        <v>366</v>
      </c>
      <c r="C89" s="20">
        <v>28</v>
      </c>
      <c r="D89" s="44">
        <v>89.6</v>
      </c>
      <c r="E89" s="44">
        <f t="shared" si="1"/>
        <v>2508.7999999999997</v>
      </c>
      <c r="G89" s="203"/>
    </row>
    <row r="90" spans="1:7" ht="15.75" thickBot="1" x14ac:dyDescent="0.3">
      <c r="A90" s="554"/>
      <c r="B90" s="32" t="s">
        <v>368</v>
      </c>
      <c r="C90" s="20">
        <v>12</v>
      </c>
      <c r="D90" s="44">
        <v>353</v>
      </c>
      <c r="E90" s="44">
        <f t="shared" si="1"/>
        <v>4236</v>
      </c>
      <c r="G90" s="202"/>
    </row>
    <row r="91" spans="1:7" ht="15.75" thickBot="1" x14ac:dyDescent="0.3">
      <c r="A91" s="554"/>
      <c r="B91" s="32" t="s">
        <v>370</v>
      </c>
      <c r="C91" s="20">
        <v>28</v>
      </c>
      <c r="D91" s="44">
        <v>126.72</v>
      </c>
      <c r="E91" s="44">
        <f t="shared" si="1"/>
        <v>3548.16</v>
      </c>
      <c r="G91" s="203"/>
    </row>
    <row r="92" spans="1:7" ht="15.75" thickBot="1" x14ac:dyDescent="0.3">
      <c r="A92" s="554"/>
      <c r="B92" s="32" t="s">
        <v>372</v>
      </c>
      <c r="C92" s="15">
        <v>28</v>
      </c>
      <c r="D92" s="44">
        <v>288</v>
      </c>
      <c r="E92" s="44">
        <f t="shared" si="1"/>
        <v>8064</v>
      </c>
      <c r="G92" s="30"/>
    </row>
    <row r="93" spans="1:7" ht="15.75" thickBot="1" x14ac:dyDescent="0.3">
      <c r="A93" s="554"/>
      <c r="B93" s="32" t="s">
        <v>374</v>
      </c>
      <c r="C93" s="15">
        <v>28</v>
      </c>
      <c r="D93" s="44">
        <v>14</v>
      </c>
      <c r="E93" s="44">
        <f t="shared" si="1"/>
        <v>392</v>
      </c>
      <c r="G93" s="30"/>
    </row>
    <row r="94" spans="1:7" ht="15.75" thickBot="1" x14ac:dyDescent="0.3">
      <c r="A94" s="554"/>
      <c r="B94" s="32" t="s">
        <v>376</v>
      </c>
      <c r="C94" s="15">
        <v>28</v>
      </c>
      <c r="D94" s="44">
        <v>23.93</v>
      </c>
      <c r="E94" s="44">
        <f t="shared" si="1"/>
        <v>670.04</v>
      </c>
      <c r="G94" s="203"/>
    </row>
    <row r="95" spans="1:7" ht="15.75" thickBot="1" x14ac:dyDescent="0.3">
      <c r="A95" s="554"/>
      <c r="B95" s="32" t="s">
        <v>378</v>
      </c>
      <c r="C95" s="15">
        <v>28</v>
      </c>
      <c r="D95" s="44">
        <v>72.760000000000005</v>
      </c>
      <c r="E95" s="44">
        <f t="shared" si="1"/>
        <v>2037.2800000000002</v>
      </c>
      <c r="G95" s="203"/>
    </row>
    <row r="96" spans="1:7" ht="15.75" thickBot="1" x14ac:dyDescent="0.3">
      <c r="A96" s="554"/>
      <c r="B96" s="32" t="s">
        <v>380</v>
      </c>
      <c r="C96" s="15">
        <v>28</v>
      </c>
      <c r="D96" s="44">
        <v>71.319999999999993</v>
      </c>
      <c r="E96" s="44">
        <f t="shared" si="1"/>
        <v>1996.9599999999998</v>
      </c>
      <c r="G96" s="203"/>
    </row>
    <row r="97" spans="1:7" ht="15.75" thickBot="1" x14ac:dyDescent="0.3">
      <c r="A97" s="554"/>
      <c r="B97" s="32" t="s">
        <v>382</v>
      </c>
      <c r="C97" s="15">
        <v>20</v>
      </c>
      <c r="D97" s="44">
        <v>162</v>
      </c>
      <c r="E97" s="44">
        <f t="shared" si="1"/>
        <v>3240</v>
      </c>
      <c r="G97" s="30"/>
    </row>
    <row r="98" spans="1:7" ht="15.75" thickBot="1" x14ac:dyDescent="0.3">
      <c r="A98" s="554"/>
      <c r="B98" s="32" t="s">
        <v>384</v>
      </c>
      <c r="C98" s="15">
        <v>28</v>
      </c>
      <c r="D98" s="44">
        <v>94</v>
      </c>
      <c r="E98" s="44">
        <f t="shared" si="1"/>
        <v>2632</v>
      </c>
      <c r="G98" s="30"/>
    </row>
    <row r="99" spans="1:7" ht="15.75" thickBot="1" x14ac:dyDescent="0.3">
      <c r="A99" s="554"/>
      <c r="B99" s="32" t="s">
        <v>386</v>
      </c>
      <c r="C99" s="15">
        <v>112</v>
      </c>
      <c r="D99" s="44">
        <v>9</v>
      </c>
      <c r="E99" s="44">
        <f t="shared" si="1"/>
        <v>1008</v>
      </c>
      <c r="G99" s="30"/>
    </row>
    <row r="100" spans="1:7" ht="15.75" thickBot="1" x14ac:dyDescent="0.3">
      <c r="A100" s="554"/>
      <c r="B100" s="32" t="s">
        <v>388</v>
      </c>
      <c r="C100" s="15">
        <v>85</v>
      </c>
      <c r="D100" s="44">
        <v>13.49</v>
      </c>
      <c r="E100" s="44">
        <f t="shared" si="1"/>
        <v>1146.6500000000001</v>
      </c>
      <c r="G100" s="203"/>
    </row>
    <row r="101" spans="1:7" ht="15.75" thickBot="1" x14ac:dyDescent="0.3">
      <c r="A101" s="554"/>
      <c r="B101" s="32" t="s">
        <v>390</v>
      </c>
      <c r="C101" s="20">
        <v>20</v>
      </c>
      <c r="D101" s="44">
        <v>60.12</v>
      </c>
      <c r="E101" s="44">
        <f t="shared" si="1"/>
        <v>1202.3999999999999</v>
      </c>
      <c r="G101" s="203"/>
    </row>
    <row r="102" spans="1:7" ht="15.75" thickBot="1" x14ac:dyDescent="0.3">
      <c r="A102" s="554"/>
      <c r="B102" s="32" t="s">
        <v>392</v>
      </c>
      <c r="C102" s="20">
        <v>20</v>
      </c>
      <c r="D102" s="44">
        <v>43.2</v>
      </c>
      <c r="E102" s="44">
        <f t="shared" si="1"/>
        <v>864</v>
      </c>
      <c r="G102" s="203"/>
    </row>
    <row r="103" spans="1:7" ht="15.75" thickBot="1" x14ac:dyDescent="0.3">
      <c r="A103" s="554"/>
      <c r="B103" s="32" t="s">
        <v>394</v>
      </c>
      <c r="C103" s="20">
        <v>200</v>
      </c>
      <c r="D103" s="44">
        <v>96</v>
      </c>
      <c r="E103" s="44">
        <f t="shared" si="1"/>
        <v>19200</v>
      </c>
      <c r="G103" s="202"/>
    </row>
    <row r="104" spans="1:7" ht="15.75" thickBot="1" x14ac:dyDescent="0.3">
      <c r="A104" s="554"/>
      <c r="B104" s="32" t="s">
        <v>396</v>
      </c>
      <c r="C104" s="20">
        <v>510</v>
      </c>
      <c r="D104" s="44">
        <v>183.74</v>
      </c>
      <c r="E104" s="44">
        <f t="shared" si="1"/>
        <v>93707.400000000009</v>
      </c>
      <c r="G104" s="203"/>
    </row>
    <row r="105" spans="1:7" ht="15.75" thickBot="1" x14ac:dyDescent="0.3">
      <c r="A105" s="554"/>
      <c r="B105" s="32" t="s">
        <v>398</v>
      </c>
      <c r="C105" s="20">
        <v>18</v>
      </c>
      <c r="D105" s="44">
        <v>220.08</v>
      </c>
      <c r="E105" s="44">
        <f t="shared" si="1"/>
        <v>3961.44</v>
      </c>
      <c r="G105" s="203"/>
    </row>
    <row r="106" spans="1:7" ht="15.75" thickBot="1" x14ac:dyDescent="0.3">
      <c r="A106" s="554"/>
      <c r="B106" s="32" t="s">
        <v>400</v>
      </c>
      <c r="C106" s="20">
        <v>12</v>
      </c>
      <c r="D106" s="44">
        <v>304.33</v>
      </c>
      <c r="E106" s="44">
        <f t="shared" si="1"/>
        <v>3651.96</v>
      </c>
      <c r="G106" s="203"/>
    </row>
    <row r="107" spans="1:7" ht="15.75" thickBot="1" x14ac:dyDescent="0.3">
      <c r="A107" s="554"/>
      <c r="B107" s="32" t="s">
        <v>402</v>
      </c>
      <c r="C107" s="20">
        <v>28</v>
      </c>
      <c r="D107" s="44">
        <v>55.78</v>
      </c>
      <c r="E107" s="44">
        <f t="shared" si="1"/>
        <v>1561.8400000000001</v>
      </c>
      <c r="G107" s="203"/>
    </row>
    <row r="108" spans="1:7" ht="15.75" thickBot="1" x14ac:dyDescent="0.3">
      <c r="A108" s="554"/>
      <c r="B108" s="57" t="s">
        <v>404</v>
      </c>
      <c r="C108" s="20">
        <v>28</v>
      </c>
      <c r="D108" s="44">
        <v>48.74</v>
      </c>
      <c r="E108" s="44">
        <f t="shared" si="1"/>
        <v>1364.72</v>
      </c>
      <c r="G108" s="203"/>
    </row>
    <row r="109" spans="1:7" ht="17.25" thickBot="1" x14ac:dyDescent="0.3">
      <c r="A109" s="112"/>
      <c r="B109" s="112" t="s">
        <v>709</v>
      </c>
      <c r="C109" s="112"/>
      <c r="D109" s="201"/>
      <c r="E109" s="201">
        <f>SUM(E54:E108)</f>
        <v>4621734.8761538491</v>
      </c>
      <c r="G109" s="201"/>
    </row>
    <row r="110" spans="1:7" ht="33.75" thickBot="1" x14ac:dyDescent="0.3">
      <c r="A110" s="395" t="s">
        <v>228</v>
      </c>
      <c r="B110" s="395" t="s">
        <v>85</v>
      </c>
      <c r="C110" s="395" t="s">
        <v>229</v>
      </c>
      <c r="D110" s="25" t="s">
        <v>123</v>
      </c>
      <c r="E110" s="25" t="s">
        <v>230</v>
      </c>
      <c r="G110" s="25"/>
    </row>
    <row r="111" spans="1:7" ht="15.75" thickBot="1" x14ac:dyDescent="0.3">
      <c r="A111" s="553" t="s">
        <v>309</v>
      </c>
      <c r="B111" s="48" t="s">
        <v>406</v>
      </c>
      <c r="C111" s="15">
        <v>28</v>
      </c>
      <c r="D111" s="44">
        <v>243.21</v>
      </c>
      <c r="E111" s="44">
        <f t="shared" ref="E111:E152" si="2">D111*C111</f>
        <v>6809.88</v>
      </c>
      <c r="G111" s="203"/>
    </row>
    <row r="112" spans="1:7" ht="15.75" thickBot="1" x14ac:dyDescent="0.3">
      <c r="A112" s="554"/>
      <c r="B112" s="32" t="s">
        <v>722</v>
      </c>
      <c r="C112" s="20">
        <v>28</v>
      </c>
      <c r="D112" s="44">
        <v>183.74</v>
      </c>
      <c r="E112" s="44">
        <f t="shared" si="2"/>
        <v>5144.72</v>
      </c>
      <c r="G112" s="203"/>
    </row>
    <row r="113" spans="1:7" ht="15.75" thickBot="1" x14ac:dyDescent="0.3">
      <c r="A113" s="554"/>
      <c r="B113" s="32" t="s">
        <v>409</v>
      </c>
      <c r="C113" s="20">
        <v>28</v>
      </c>
      <c r="D113" s="44">
        <v>144.34</v>
      </c>
      <c r="E113" s="44">
        <f t="shared" si="2"/>
        <v>4041.52</v>
      </c>
      <c r="G113" s="203"/>
    </row>
    <row r="114" spans="1:7" ht="15.75" thickBot="1" x14ac:dyDescent="0.3">
      <c r="A114" s="554"/>
      <c r="B114" s="32" t="s">
        <v>411</v>
      </c>
      <c r="C114" s="20">
        <v>4</v>
      </c>
      <c r="D114" s="44">
        <v>3218</v>
      </c>
      <c r="E114" s="44">
        <f t="shared" si="2"/>
        <v>12872</v>
      </c>
      <c r="G114" s="30"/>
    </row>
    <row r="115" spans="1:7" ht="15.75" thickBot="1" x14ac:dyDescent="0.3">
      <c r="A115" s="554"/>
      <c r="B115" s="32" t="s">
        <v>413</v>
      </c>
      <c r="C115" s="20">
        <v>28</v>
      </c>
      <c r="D115" s="44">
        <v>608.75</v>
      </c>
      <c r="E115" s="44">
        <f t="shared" si="2"/>
        <v>17045</v>
      </c>
      <c r="G115" s="203"/>
    </row>
    <row r="116" spans="1:7" ht="15.75" thickBot="1" x14ac:dyDescent="0.3">
      <c r="A116" s="554"/>
      <c r="B116" s="32" t="s">
        <v>415</v>
      </c>
      <c r="C116" s="20">
        <v>28</v>
      </c>
      <c r="D116" s="44">
        <v>954.84</v>
      </c>
      <c r="E116" s="44">
        <f t="shared" si="2"/>
        <v>26735.52</v>
      </c>
      <c r="G116" s="203"/>
    </row>
    <row r="117" spans="1:7" ht="15.75" thickBot="1" x14ac:dyDescent="0.3">
      <c r="A117" s="554"/>
      <c r="B117" s="32" t="s">
        <v>417</v>
      </c>
      <c r="C117" s="20">
        <v>28</v>
      </c>
      <c r="D117" s="44">
        <v>789.12</v>
      </c>
      <c r="E117" s="44">
        <f t="shared" si="2"/>
        <v>22095.360000000001</v>
      </c>
      <c r="G117" s="203"/>
    </row>
    <row r="118" spans="1:7" ht="15.75" thickBot="1" x14ac:dyDescent="0.3">
      <c r="A118" s="554"/>
      <c r="B118" s="32" t="s">
        <v>419</v>
      </c>
      <c r="C118" s="15">
        <v>28</v>
      </c>
      <c r="D118" s="44">
        <v>77.3</v>
      </c>
      <c r="E118" s="44">
        <f t="shared" si="2"/>
        <v>2164.4</v>
      </c>
      <c r="G118" s="203"/>
    </row>
    <row r="119" spans="1:7" ht="15.75" thickBot="1" x14ac:dyDescent="0.3">
      <c r="A119" s="554"/>
      <c r="B119" s="32" t="s">
        <v>421</v>
      </c>
      <c r="C119" s="15">
        <v>28</v>
      </c>
      <c r="D119" s="44">
        <v>192.94</v>
      </c>
      <c r="E119" s="44">
        <f t="shared" si="2"/>
        <v>5402.32</v>
      </c>
      <c r="G119" s="203"/>
    </row>
    <row r="120" spans="1:7" ht="15.75" thickBot="1" x14ac:dyDescent="0.3">
      <c r="A120" s="554"/>
      <c r="B120" s="32" t="s">
        <v>423</v>
      </c>
      <c r="C120" s="15">
        <v>28</v>
      </c>
      <c r="D120" s="44">
        <v>550</v>
      </c>
      <c r="E120" s="44">
        <f t="shared" si="2"/>
        <v>15400</v>
      </c>
      <c r="G120" s="30"/>
    </row>
    <row r="121" spans="1:7" ht="15.75" thickBot="1" x14ac:dyDescent="0.3">
      <c r="A121" s="554"/>
      <c r="B121" s="32" t="s">
        <v>75</v>
      </c>
      <c r="C121" s="15">
        <v>4</v>
      </c>
      <c r="D121" s="44">
        <v>15700</v>
      </c>
      <c r="E121" s="44">
        <f t="shared" si="2"/>
        <v>62800</v>
      </c>
      <c r="G121" s="203"/>
    </row>
    <row r="122" spans="1:7" ht="15.75" thickBot="1" x14ac:dyDescent="0.3">
      <c r="A122" s="554"/>
      <c r="B122" s="32" t="s">
        <v>73</v>
      </c>
      <c r="C122" s="15">
        <v>4</v>
      </c>
      <c r="D122" s="44">
        <v>45800</v>
      </c>
      <c r="E122" s="44">
        <f t="shared" si="2"/>
        <v>183200</v>
      </c>
      <c r="G122" s="203"/>
    </row>
    <row r="123" spans="1:7" ht="15.75" thickBot="1" x14ac:dyDescent="0.3">
      <c r="A123" s="554"/>
      <c r="B123" s="32" t="s">
        <v>71</v>
      </c>
      <c r="C123" s="15">
        <v>28</v>
      </c>
      <c r="D123" s="44">
        <v>4090</v>
      </c>
      <c r="E123" s="44">
        <f t="shared" si="2"/>
        <v>114520</v>
      </c>
      <c r="G123" s="203"/>
    </row>
    <row r="124" spans="1:7" ht="15.75" thickBot="1" x14ac:dyDescent="0.3">
      <c r="A124" s="554"/>
      <c r="B124" s="32" t="s">
        <v>426</v>
      </c>
      <c r="C124" s="15">
        <v>28</v>
      </c>
      <c r="D124" s="44">
        <v>3650</v>
      </c>
      <c r="E124" s="44">
        <f t="shared" si="2"/>
        <v>102200</v>
      </c>
      <c r="G124" s="203"/>
    </row>
    <row r="125" spans="1:7" ht="30.75" thickBot="1" x14ac:dyDescent="0.3">
      <c r="A125" s="554"/>
      <c r="B125" s="32" t="s">
        <v>428</v>
      </c>
      <c r="C125" s="15">
        <v>8</v>
      </c>
      <c r="D125" s="44">
        <v>5100</v>
      </c>
      <c r="E125" s="44">
        <f t="shared" si="2"/>
        <v>40800</v>
      </c>
      <c r="G125" s="203"/>
    </row>
    <row r="126" spans="1:7" x14ac:dyDescent="0.25">
      <c r="A126" s="554"/>
      <c r="B126" s="32" t="s">
        <v>430</v>
      </c>
      <c r="C126" s="15">
        <v>84</v>
      </c>
      <c r="D126" s="547">
        <v>20800</v>
      </c>
      <c r="E126" s="547">
        <f t="shared" si="2"/>
        <v>1747200</v>
      </c>
      <c r="G126" s="544"/>
    </row>
    <row r="127" spans="1:7" x14ac:dyDescent="0.25">
      <c r="A127" s="554"/>
      <c r="B127" s="32" t="s">
        <v>432</v>
      </c>
      <c r="C127" s="15">
        <v>84</v>
      </c>
      <c r="D127" s="548"/>
      <c r="E127" s="548"/>
      <c r="G127" s="545"/>
    </row>
    <row r="128" spans="1:7" ht="15.75" thickBot="1" x14ac:dyDescent="0.3">
      <c r="A128" s="554"/>
      <c r="B128" s="32" t="s">
        <v>434</v>
      </c>
      <c r="C128" s="15">
        <v>88</v>
      </c>
      <c r="D128" s="549"/>
      <c r="E128" s="549"/>
      <c r="G128" s="546"/>
    </row>
    <row r="129" spans="1:7" ht="15.75" thickBot="1" x14ac:dyDescent="0.3">
      <c r="A129" s="554"/>
      <c r="B129" s="32" t="s">
        <v>436</v>
      </c>
      <c r="C129" s="15">
        <v>91</v>
      </c>
      <c r="D129" s="44">
        <v>30</v>
      </c>
      <c r="E129" s="44">
        <f t="shared" si="2"/>
        <v>2730</v>
      </c>
      <c r="G129" s="30"/>
    </row>
    <row r="130" spans="1:7" ht="15.75" thickBot="1" x14ac:dyDescent="0.3">
      <c r="A130" s="554"/>
      <c r="B130" s="32" t="s">
        <v>438</v>
      </c>
      <c r="C130" s="15">
        <v>98</v>
      </c>
      <c r="D130" s="44">
        <v>2150</v>
      </c>
      <c r="E130" s="44">
        <f t="shared" si="2"/>
        <v>210700</v>
      </c>
      <c r="G130" s="203"/>
    </row>
    <row r="131" spans="1:7" ht="15.75" thickBot="1" x14ac:dyDescent="0.3">
      <c r="A131" s="554"/>
      <c r="B131" s="32" t="s">
        <v>440</v>
      </c>
      <c r="C131" s="15">
        <v>96</v>
      </c>
      <c r="D131" s="44">
        <v>70.209999999999994</v>
      </c>
      <c r="E131" s="44">
        <f t="shared" si="2"/>
        <v>6740.16</v>
      </c>
      <c r="G131" s="203"/>
    </row>
    <row r="132" spans="1:7" ht="15.75" thickBot="1" x14ac:dyDescent="0.3">
      <c r="A132" s="554"/>
      <c r="B132" s="32" t="s">
        <v>442</v>
      </c>
      <c r="C132" s="15">
        <v>84</v>
      </c>
      <c r="D132" s="44">
        <v>3700</v>
      </c>
      <c r="E132" s="44">
        <f t="shared" si="2"/>
        <v>310800</v>
      </c>
      <c r="G132" s="203"/>
    </row>
    <row r="133" spans="1:7" ht="15.75" thickBot="1" x14ac:dyDescent="0.3">
      <c r="A133" s="554"/>
      <c r="B133" s="32" t="s">
        <v>444</v>
      </c>
      <c r="C133" s="15">
        <v>126</v>
      </c>
      <c r="D133" s="44">
        <v>568</v>
      </c>
      <c r="E133" s="44">
        <f t="shared" si="2"/>
        <v>71568</v>
      </c>
      <c r="G133" s="203"/>
    </row>
    <row r="134" spans="1:7" ht="15.75" thickBot="1" x14ac:dyDescent="0.3">
      <c r="A134" s="554"/>
      <c r="B134" s="32" t="s">
        <v>710</v>
      </c>
      <c r="C134" s="15">
        <v>81</v>
      </c>
      <c r="D134" s="44">
        <v>103</v>
      </c>
      <c r="E134" s="44">
        <f t="shared" si="2"/>
        <v>8343</v>
      </c>
      <c r="G134" s="30"/>
    </row>
    <row r="135" spans="1:7" ht="15.75" thickBot="1" x14ac:dyDescent="0.3">
      <c r="A135" s="554"/>
      <c r="B135" s="32" t="s">
        <v>446</v>
      </c>
      <c r="C135" s="15">
        <v>9</v>
      </c>
      <c r="D135" s="44">
        <v>200</v>
      </c>
      <c r="E135" s="44">
        <f t="shared" si="2"/>
        <v>1800</v>
      </c>
      <c r="G135" s="30"/>
    </row>
    <row r="136" spans="1:7" ht="15.75" thickBot="1" x14ac:dyDescent="0.3">
      <c r="A136" s="554"/>
      <c r="B136" s="32" t="s">
        <v>448</v>
      </c>
      <c r="C136" s="15">
        <v>9</v>
      </c>
      <c r="D136" s="44">
        <v>485</v>
      </c>
      <c r="E136" s="44">
        <f t="shared" si="2"/>
        <v>4365</v>
      </c>
      <c r="G136" s="30"/>
    </row>
    <row r="137" spans="1:7" ht="15.75" thickBot="1" x14ac:dyDescent="0.3">
      <c r="A137" s="554"/>
      <c r="B137" s="32" t="s">
        <v>68</v>
      </c>
      <c r="C137" s="15">
        <v>83</v>
      </c>
      <c r="D137" s="44">
        <v>3800</v>
      </c>
      <c r="E137" s="44">
        <f t="shared" si="2"/>
        <v>315400</v>
      </c>
      <c r="G137" s="203"/>
    </row>
    <row r="138" spans="1:7" ht="15.75" thickBot="1" x14ac:dyDescent="0.3">
      <c r="A138" s="554"/>
      <c r="B138" s="32" t="s">
        <v>450</v>
      </c>
      <c r="C138" s="15">
        <v>7</v>
      </c>
      <c r="D138" s="44">
        <v>1246</v>
      </c>
      <c r="E138" s="44">
        <f t="shared" si="2"/>
        <v>8722</v>
      </c>
      <c r="G138" s="30"/>
    </row>
    <row r="139" spans="1:7" ht="15.75" thickBot="1" x14ac:dyDescent="0.3">
      <c r="A139" s="554"/>
      <c r="B139" s="32" t="s">
        <v>452</v>
      </c>
      <c r="C139" s="15">
        <v>126</v>
      </c>
      <c r="D139" s="44">
        <v>65</v>
      </c>
      <c r="E139" s="44">
        <f t="shared" si="2"/>
        <v>8190</v>
      </c>
      <c r="G139" s="30"/>
    </row>
    <row r="140" spans="1:7" ht="15.75" thickBot="1" x14ac:dyDescent="0.3">
      <c r="A140" s="554"/>
      <c r="B140" s="32" t="s">
        <v>455</v>
      </c>
      <c r="C140" s="15">
        <v>9</v>
      </c>
      <c r="D140" s="44">
        <v>46</v>
      </c>
      <c r="E140" s="44">
        <f t="shared" si="2"/>
        <v>414</v>
      </c>
      <c r="G140" s="30"/>
    </row>
    <row r="141" spans="1:7" ht="15.75" thickBot="1" x14ac:dyDescent="0.3">
      <c r="A141" s="554"/>
      <c r="B141" s="32" t="s">
        <v>457</v>
      </c>
      <c r="C141" s="15">
        <v>68</v>
      </c>
      <c r="D141" s="44">
        <f>(7098+267)*1.15</f>
        <v>8469.75</v>
      </c>
      <c r="E141" s="44">
        <f t="shared" si="2"/>
        <v>575943</v>
      </c>
      <c r="G141" s="203"/>
    </row>
    <row r="142" spans="1:7" ht="15.75" thickBot="1" x14ac:dyDescent="0.3">
      <c r="A142" s="554"/>
      <c r="B142" s="32" t="s">
        <v>459</v>
      </c>
      <c r="C142" s="15">
        <v>5</v>
      </c>
      <c r="D142" s="44">
        <v>2770</v>
      </c>
      <c r="E142" s="44">
        <f t="shared" si="2"/>
        <v>13850</v>
      </c>
      <c r="G142" s="203"/>
    </row>
    <row r="143" spans="1:7" ht="15.75" thickBot="1" x14ac:dyDescent="0.3">
      <c r="A143" s="554"/>
      <c r="B143" s="32" t="s">
        <v>461</v>
      </c>
      <c r="C143" s="15">
        <v>18</v>
      </c>
      <c r="D143" s="44">
        <v>295</v>
      </c>
      <c r="E143" s="44">
        <f t="shared" si="2"/>
        <v>5310</v>
      </c>
      <c r="G143" s="203"/>
    </row>
    <row r="144" spans="1:7" ht="15.75" thickBot="1" x14ac:dyDescent="0.3">
      <c r="A144" s="554"/>
      <c r="B144" s="32" t="s">
        <v>463</v>
      </c>
      <c r="C144" s="15">
        <v>10</v>
      </c>
      <c r="D144" s="44">
        <v>3800</v>
      </c>
      <c r="E144" s="44">
        <f t="shared" si="2"/>
        <v>38000</v>
      </c>
      <c r="G144" s="203"/>
    </row>
    <row r="145" spans="1:7" ht="15.75" thickBot="1" x14ac:dyDescent="0.3">
      <c r="A145" s="554"/>
      <c r="B145" s="32" t="s">
        <v>465</v>
      </c>
      <c r="C145" s="15">
        <v>13</v>
      </c>
      <c r="D145" s="44">
        <v>1100</v>
      </c>
      <c r="E145" s="44">
        <f t="shared" si="2"/>
        <v>14300</v>
      </c>
      <c r="G145" s="30"/>
    </row>
    <row r="146" spans="1:7" ht="15.75" thickBot="1" x14ac:dyDescent="0.3">
      <c r="A146" s="554"/>
      <c r="B146" s="32" t="s">
        <v>467</v>
      </c>
      <c r="C146" s="15">
        <v>13</v>
      </c>
      <c r="D146" s="44">
        <v>1600</v>
      </c>
      <c r="E146" s="44">
        <f t="shared" si="2"/>
        <v>20800</v>
      </c>
      <c r="G146" s="30"/>
    </row>
    <row r="147" spans="1:7" ht="15.75" thickBot="1" x14ac:dyDescent="0.3">
      <c r="A147" s="554"/>
      <c r="B147" s="32" t="s">
        <v>469</v>
      </c>
      <c r="C147" s="15">
        <v>50</v>
      </c>
      <c r="D147" s="44">
        <v>3</v>
      </c>
      <c r="E147" s="44">
        <f t="shared" si="2"/>
        <v>150</v>
      </c>
      <c r="G147" s="30"/>
    </row>
    <row r="148" spans="1:7" ht="15.75" thickBot="1" x14ac:dyDescent="0.3">
      <c r="A148" s="554"/>
      <c r="B148" s="32" t="s">
        <v>471</v>
      </c>
      <c r="C148" s="15">
        <v>4</v>
      </c>
      <c r="D148" s="44">
        <v>2450</v>
      </c>
      <c r="E148" s="44">
        <f t="shared" si="2"/>
        <v>9800</v>
      </c>
      <c r="G148" s="30"/>
    </row>
    <row r="149" spans="1:7" ht="15.75" thickBot="1" x14ac:dyDescent="0.3">
      <c r="A149" s="554"/>
      <c r="B149" s="32" t="s">
        <v>64</v>
      </c>
      <c r="C149" s="15">
        <v>4</v>
      </c>
      <c r="D149" s="44">
        <v>3250</v>
      </c>
      <c r="E149" s="44">
        <f t="shared" si="2"/>
        <v>13000</v>
      </c>
      <c r="G149" s="30"/>
    </row>
    <row r="150" spans="1:7" ht="15.75" thickBot="1" x14ac:dyDescent="0.3">
      <c r="A150" s="554"/>
      <c r="B150" s="32" t="s">
        <v>711</v>
      </c>
      <c r="C150" s="15">
        <v>1</v>
      </c>
      <c r="D150" s="44">
        <v>1923.07</v>
      </c>
      <c r="E150" s="44">
        <f t="shared" si="2"/>
        <v>1923.07</v>
      </c>
      <c r="G150" s="203"/>
    </row>
    <row r="151" spans="1:7" ht="15.75" thickBot="1" x14ac:dyDescent="0.3">
      <c r="A151" s="554"/>
      <c r="B151" s="32" t="s">
        <v>712</v>
      </c>
      <c r="C151" s="15">
        <v>1</v>
      </c>
      <c r="D151" s="44">
        <v>8000</v>
      </c>
      <c r="E151" s="44">
        <f t="shared" si="2"/>
        <v>8000</v>
      </c>
      <c r="G151" s="30"/>
    </row>
    <row r="152" spans="1:7" ht="15.75" thickBot="1" x14ac:dyDescent="0.3">
      <c r="A152" s="554"/>
      <c r="B152" s="57" t="s">
        <v>713</v>
      </c>
      <c r="C152" s="51">
        <v>1</v>
      </c>
      <c r="D152" s="44">
        <v>1000</v>
      </c>
      <c r="E152" s="44">
        <f t="shared" si="2"/>
        <v>1000</v>
      </c>
      <c r="G152" s="200"/>
    </row>
    <row r="153" spans="1:7" ht="17.25" thickBot="1" x14ac:dyDescent="0.3">
      <c r="A153" s="112"/>
      <c r="B153" s="112" t="s">
        <v>714</v>
      </c>
      <c r="C153" s="112"/>
      <c r="D153" s="201"/>
      <c r="E153" s="201">
        <f>SUM(E111:E152)</f>
        <v>4020278.9499999997</v>
      </c>
      <c r="G153" s="201"/>
    </row>
    <row r="154" spans="1:7" ht="17.25" thickBot="1" x14ac:dyDescent="0.3">
      <c r="A154" s="112"/>
      <c r="B154" s="112" t="s">
        <v>715</v>
      </c>
      <c r="C154" s="112"/>
      <c r="D154" s="201"/>
      <c r="E154" s="201">
        <f>+E153+E109</f>
        <v>8642013.8261538483</v>
      </c>
      <c r="G154" s="201"/>
    </row>
    <row r="155" spans="1:7" x14ac:dyDescent="0.25">
      <c r="G155" s="27"/>
    </row>
    <row r="156" spans="1:7" x14ac:dyDescent="0.25">
      <c r="G156" s="27"/>
    </row>
    <row r="157" spans="1:7" ht="15.75" thickBot="1" x14ac:dyDescent="0.3">
      <c r="G157" s="27"/>
    </row>
    <row r="158" spans="1:7" ht="33.75" thickBot="1" x14ac:dyDescent="0.3">
      <c r="A158" s="395" t="s">
        <v>228</v>
      </c>
      <c r="B158" s="395" t="s">
        <v>85</v>
      </c>
      <c r="C158" s="395" t="s">
        <v>229</v>
      </c>
      <c r="D158" s="25" t="s">
        <v>123</v>
      </c>
      <c r="E158" s="25" t="s">
        <v>230</v>
      </c>
      <c r="G158" s="25"/>
    </row>
    <row r="159" spans="1:7" ht="15.75" thickBot="1" x14ac:dyDescent="0.3">
      <c r="A159" s="558" t="s">
        <v>473</v>
      </c>
      <c r="B159" s="48" t="s">
        <v>477</v>
      </c>
      <c r="C159" s="47">
        <v>118</v>
      </c>
      <c r="D159" s="44">
        <v>260</v>
      </c>
      <c r="E159" s="44">
        <f t="shared" ref="E159:E190" si="3">D159*C159</f>
        <v>30680</v>
      </c>
      <c r="G159" s="44"/>
    </row>
    <row r="160" spans="1:7" ht="15.75" thickBot="1" x14ac:dyDescent="0.3">
      <c r="A160" s="559" t="s">
        <v>473</v>
      </c>
      <c r="B160" s="32" t="s">
        <v>479</v>
      </c>
      <c r="C160" s="15">
        <v>92</v>
      </c>
      <c r="D160" s="44">
        <v>84</v>
      </c>
      <c r="E160" s="44">
        <f t="shared" si="3"/>
        <v>7728</v>
      </c>
      <c r="G160" s="30"/>
    </row>
    <row r="161" spans="1:8" ht="15.75" thickBot="1" x14ac:dyDescent="0.3">
      <c r="A161" s="559" t="s">
        <v>473</v>
      </c>
      <c r="B161" s="32" t="s">
        <v>481</v>
      </c>
      <c r="C161" s="15">
        <v>111</v>
      </c>
      <c r="D161" s="44">
        <v>29</v>
      </c>
      <c r="E161" s="44">
        <f t="shared" si="3"/>
        <v>3219</v>
      </c>
      <c r="G161" s="30"/>
    </row>
    <row r="162" spans="1:8" ht="15.75" thickBot="1" x14ac:dyDescent="0.3">
      <c r="A162" s="559" t="s">
        <v>473</v>
      </c>
      <c r="B162" s="32" t="s">
        <v>483</v>
      </c>
      <c r="C162" s="15">
        <v>120</v>
      </c>
      <c r="D162" s="44">
        <v>32</v>
      </c>
      <c r="E162" s="44">
        <f t="shared" si="3"/>
        <v>3840</v>
      </c>
      <c r="G162" s="30"/>
    </row>
    <row r="163" spans="1:8" ht="15.75" thickBot="1" x14ac:dyDescent="0.3">
      <c r="A163" s="559" t="s">
        <v>473</v>
      </c>
      <c r="B163" s="32" t="s">
        <v>485</v>
      </c>
      <c r="C163" s="15">
        <v>115</v>
      </c>
      <c r="D163" s="44">
        <v>78</v>
      </c>
      <c r="E163" s="44">
        <f t="shared" si="3"/>
        <v>8970</v>
      </c>
      <c r="G163" s="30"/>
    </row>
    <row r="164" spans="1:8" ht="15.75" thickBot="1" x14ac:dyDescent="0.3">
      <c r="A164" s="559" t="s">
        <v>473</v>
      </c>
      <c r="B164" s="32" t="s">
        <v>487</v>
      </c>
      <c r="C164" s="15">
        <v>120</v>
      </c>
      <c r="D164" s="44">
        <v>52</v>
      </c>
      <c r="E164" s="44">
        <f t="shared" si="3"/>
        <v>6240</v>
      </c>
      <c r="G164" s="30"/>
    </row>
    <row r="165" spans="1:8" ht="15.75" thickBot="1" x14ac:dyDescent="0.3">
      <c r="A165" s="559" t="s">
        <v>473</v>
      </c>
      <c r="B165" s="32" t="s">
        <v>489</v>
      </c>
      <c r="C165" s="15">
        <v>95</v>
      </c>
      <c r="D165" s="44">
        <v>201</v>
      </c>
      <c r="E165" s="44">
        <f t="shared" si="3"/>
        <v>19095</v>
      </c>
      <c r="G165" s="30"/>
    </row>
    <row r="166" spans="1:8" ht="15.75" thickBot="1" x14ac:dyDescent="0.3">
      <c r="A166" s="559" t="s">
        <v>473</v>
      </c>
      <c r="B166" s="32" t="s">
        <v>491</v>
      </c>
      <c r="C166" s="15">
        <v>117</v>
      </c>
      <c r="D166" s="44">
        <v>60</v>
      </c>
      <c r="E166" s="44">
        <f t="shared" si="3"/>
        <v>7020</v>
      </c>
      <c r="G166" s="30"/>
    </row>
    <row r="167" spans="1:8" ht="21" customHeight="1" thickBot="1" x14ac:dyDescent="0.3">
      <c r="A167" s="559" t="s">
        <v>473</v>
      </c>
      <c r="B167" s="32" t="s">
        <v>119</v>
      </c>
      <c r="C167" s="15">
        <v>68</v>
      </c>
      <c r="D167" s="44">
        <v>3202</v>
      </c>
      <c r="E167" s="44">
        <f t="shared" si="3"/>
        <v>217736</v>
      </c>
      <c r="G167" s="203"/>
    </row>
    <row r="168" spans="1:8" ht="15.75" thickBot="1" x14ac:dyDescent="0.3">
      <c r="A168" s="559" t="s">
        <v>473</v>
      </c>
      <c r="B168" s="32" t="s">
        <v>116</v>
      </c>
      <c r="C168" s="15">
        <v>5</v>
      </c>
      <c r="D168" s="44">
        <v>12096</v>
      </c>
      <c r="E168" s="44">
        <f t="shared" si="3"/>
        <v>60480</v>
      </c>
      <c r="G168" s="30"/>
    </row>
    <row r="169" spans="1:8" ht="15.75" thickBot="1" x14ac:dyDescent="0.3">
      <c r="A169" s="559" t="s">
        <v>473</v>
      </c>
      <c r="B169" s="32" t="s">
        <v>114</v>
      </c>
      <c r="C169" s="15">
        <v>56</v>
      </c>
      <c r="D169" s="44">
        <v>3600</v>
      </c>
      <c r="E169" s="44">
        <f t="shared" si="3"/>
        <v>201600</v>
      </c>
      <c r="G169" s="203"/>
    </row>
    <row r="170" spans="1:8" ht="15.75" thickBot="1" x14ac:dyDescent="0.3">
      <c r="A170" s="559" t="s">
        <v>473</v>
      </c>
      <c r="B170" s="32" t="s">
        <v>493</v>
      </c>
      <c r="C170" s="15">
        <v>28</v>
      </c>
      <c r="D170" s="44">
        <v>274</v>
      </c>
      <c r="E170" s="44">
        <f t="shared" si="3"/>
        <v>7672</v>
      </c>
      <c r="G170" s="30"/>
    </row>
    <row r="171" spans="1:8" ht="15.75" thickBot="1" x14ac:dyDescent="0.3">
      <c r="A171" s="559" t="s">
        <v>473</v>
      </c>
      <c r="B171" s="32" t="s">
        <v>495</v>
      </c>
      <c r="C171" s="15">
        <v>49</v>
      </c>
      <c r="D171" s="44">
        <v>1778</v>
      </c>
      <c r="E171" s="44">
        <f t="shared" si="3"/>
        <v>87122</v>
      </c>
      <c r="G171" s="30"/>
    </row>
    <row r="172" spans="1:8" ht="15.75" thickBot="1" x14ac:dyDescent="0.3">
      <c r="A172" s="559" t="s">
        <v>473</v>
      </c>
      <c r="B172" s="32" t="s">
        <v>497</v>
      </c>
      <c r="C172" s="15">
        <v>22</v>
      </c>
      <c r="D172" s="44">
        <v>154</v>
      </c>
      <c r="E172" s="44">
        <f t="shared" si="3"/>
        <v>3388</v>
      </c>
      <c r="G172" s="30"/>
    </row>
    <row r="173" spans="1:8" ht="15.75" thickBot="1" x14ac:dyDescent="0.3">
      <c r="A173" s="559" t="s">
        <v>473</v>
      </c>
      <c r="B173" s="32" t="s">
        <v>102</v>
      </c>
      <c r="C173" s="15">
        <v>13</v>
      </c>
      <c r="D173" s="44">
        <v>13144</v>
      </c>
      <c r="E173" s="44">
        <f t="shared" si="3"/>
        <v>170872</v>
      </c>
      <c r="G173" s="203"/>
    </row>
    <row r="174" spans="1:8" ht="15.75" thickBot="1" x14ac:dyDescent="0.3">
      <c r="A174" s="559" t="s">
        <v>473</v>
      </c>
      <c r="B174" s="32" t="s">
        <v>100</v>
      </c>
      <c r="C174" s="15">
        <v>4</v>
      </c>
      <c r="D174" s="44">
        <v>7500</v>
      </c>
      <c r="E174" s="44">
        <f t="shared" si="3"/>
        <v>30000</v>
      </c>
      <c r="G174" s="30"/>
    </row>
    <row r="175" spans="1:8" ht="15.75" thickBot="1" x14ac:dyDescent="0.3">
      <c r="A175" s="559" t="s">
        <v>473</v>
      </c>
      <c r="B175" s="32" t="s">
        <v>98</v>
      </c>
      <c r="C175" s="15">
        <v>1</v>
      </c>
      <c r="D175" s="44">
        <v>8750</v>
      </c>
      <c r="E175" s="44">
        <f t="shared" si="3"/>
        <v>8750</v>
      </c>
      <c r="G175" s="30"/>
    </row>
    <row r="176" spans="1:8" ht="15.75" thickBot="1" x14ac:dyDescent="0.3">
      <c r="A176" s="559" t="s">
        <v>473</v>
      </c>
      <c r="B176" s="32" t="s">
        <v>499</v>
      </c>
      <c r="C176" s="15">
        <v>2</v>
      </c>
      <c r="D176" s="44">
        <v>256</v>
      </c>
      <c r="E176" s="44">
        <f t="shared" si="3"/>
        <v>512</v>
      </c>
      <c r="G176" s="30"/>
      <c r="H176" s="391" t="s">
        <v>118</v>
      </c>
    </row>
    <row r="177" spans="1:7" ht="15.75" thickBot="1" x14ac:dyDescent="0.3">
      <c r="A177" s="559" t="s">
        <v>473</v>
      </c>
      <c r="B177" s="32" t="s">
        <v>501</v>
      </c>
      <c r="C177" s="15">
        <v>2</v>
      </c>
      <c r="D177" s="44">
        <v>72</v>
      </c>
      <c r="E177" s="44">
        <f t="shared" si="3"/>
        <v>144</v>
      </c>
      <c r="G177" s="203"/>
    </row>
    <row r="178" spans="1:7" ht="15.75" thickBot="1" x14ac:dyDescent="0.3">
      <c r="A178" s="559" t="s">
        <v>473</v>
      </c>
      <c r="B178" s="32" t="s">
        <v>108</v>
      </c>
      <c r="C178" s="15">
        <v>36</v>
      </c>
      <c r="D178" s="44">
        <v>3305</v>
      </c>
      <c r="E178" s="44">
        <f t="shared" si="3"/>
        <v>118980</v>
      </c>
      <c r="G178" s="30"/>
    </row>
    <row r="179" spans="1:7" ht="15.75" thickBot="1" x14ac:dyDescent="0.3">
      <c r="A179" s="559" t="s">
        <v>473</v>
      </c>
      <c r="B179" s="32" t="s">
        <v>503</v>
      </c>
      <c r="C179" s="15">
        <v>8</v>
      </c>
      <c r="D179" s="44">
        <v>403</v>
      </c>
      <c r="E179" s="44">
        <f t="shared" si="3"/>
        <v>3224</v>
      </c>
      <c r="G179" s="30"/>
    </row>
    <row r="180" spans="1:7" ht="15.75" thickBot="1" x14ac:dyDescent="0.3">
      <c r="A180" s="559" t="s">
        <v>473</v>
      </c>
      <c r="B180" s="32" t="s">
        <v>505</v>
      </c>
      <c r="C180" s="15">
        <v>10</v>
      </c>
      <c r="D180" s="44">
        <v>140</v>
      </c>
      <c r="E180" s="44">
        <f t="shared" si="3"/>
        <v>1400</v>
      </c>
      <c r="G180" s="203"/>
    </row>
    <row r="181" spans="1:7" ht="15.75" thickBot="1" x14ac:dyDescent="0.3">
      <c r="A181" s="559" t="s">
        <v>473</v>
      </c>
      <c r="B181" s="32" t="s">
        <v>716</v>
      </c>
      <c r="C181" s="15">
        <v>9</v>
      </c>
      <c r="D181" s="44">
        <v>250</v>
      </c>
      <c r="E181" s="44">
        <f t="shared" si="3"/>
        <v>2250</v>
      </c>
      <c r="G181" s="30"/>
    </row>
    <row r="182" spans="1:7" ht="15.75" thickBot="1" x14ac:dyDescent="0.3">
      <c r="A182" s="559" t="s">
        <v>473</v>
      </c>
      <c r="B182" s="32" t="s">
        <v>507</v>
      </c>
      <c r="C182" s="15">
        <v>56</v>
      </c>
      <c r="D182" s="44">
        <v>135</v>
      </c>
      <c r="E182" s="44">
        <f t="shared" si="3"/>
        <v>7560</v>
      </c>
      <c r="G182" s="30"/>
    </row>
    <row r="183" spans="1:7" ht="15.75" thickBot="1" x14ac:dyDescent="0.3">
      <c r="A183" s="559" t="s">
        <v>473</v>
      </c>
      <c r="B183" s="32" t="s">
        <v>509</v>
      </c>
      <c r="C183" s="15">
        <v>56</v>
      </c>
      <c r="D183" s="44">
        <v>210</v>
      </c>
      <c r="E183" s="44">
        <f t="shared" si="3"/>
        <v>11760</v>
      </c>
      <c r="G183" s="30"/>
    </row>
    <row r="184" spans="1:7" ht="15.75" thickBot="1" x14ac:dyDescent="0.3">
      <c r="A184" s="559" t="s">
        <v>473</v>
      </c>
      <c r="B184" s="32" t="s">
        <v>499</v>
      </c>
      <c r="C184" s="15">
        <v>9</v>
      </c>
      <c r="D184" s="44">
        <f>627000/650</f>
        <v>964.61538461538464</v>
      </c>
      <c r="E184" s="44">
        <f t="shared" si="3"/>
        <v>8681.538461538461</v>
      </c>
      <c r="G184" s="203"/>
    </row>
    <row r="185" spans="1:7" ht="15.75" thickBot="1" x14ac:dyDescent="0.3">
      <c r="A185" s="559" t="s">
        <v>473</v>
      </c>
      <c r="B185" s="32" t="s">
        <v>110</v>
      </c>
      <c r="C185" s="15">
        <v>4</v>
      </c>
      <c r="D185" s="44">
        <v>5572</v>
      </c>
      <c r="E185" s="44">
        <f t="shared" si="3"/>
        <v>22288</v>
      </c>
      <c r="G185" s="30"/>
    </row>
    <row r="186" spans="1:7" ht="15.75" thickBot="1" x14ac:dyDescent="0.3">
      <c r="A186" s="559" t="s">
        <v>473</v>
      </c>
      <c r="B186" s="32" t="s">
        <v>513</v>
      </c>
      <c r="C186" s="15">
        <v>20</v>
      </c>
      <c r="D186" s="44">
        <v>1200</v>
      </c>
      <c r="E186" s="44">
        <f t="shared" si="3"/>
        <v>24000</v>
      </c>
      <c r="G186" s="30"/>
    </row>
    <row r="187" spans="1:7" ht="15.75" thickBot="1" x14ac:dyDescent="0.3">
      <c r="A187" s="559" t="s">
        <v>473</v>
      </c>
      <c r="B187" s="32" t="s">
        <v>104</v>
      </c>
      <c r="C187" s="15">
        <v>1</v>
      </c>
      <c r="D187" s="44">
        <v>19274</v>
      </c>
      <c r="E187" s="44">
        <f t="shared" si="3"/>
        <v>19274</v>
      </c>
      <c r="G187" s="30"/>
    </row>
    <row r="188" spans="1:7" ht="15.75" thickBot="1" x14ac:dyDescent="0.3">
      <c r="A188" s="559" t="s">
        <v>473</v>
      </c>
      <c r="B188" s="32" t="s">
        <v>515</v>
      </c>
      <c r="C188" s="15">
        <v>5</v>
      </c>
      <c r="D188" s="44">
        <v>48</v>
      </c>
      <c r="E188" s="44">
        <f t="shared" si="3"/>
        <v>240</v>
      </c>
      <c r="G188" s="30"/>
    </row>
    <row r="189" spans="1:7" ht="15.75" thickBot="1" x14ac:dyDescent="0.3">
      <c r="A189" s="559" t="s">
        <v>473</v>
      </c>
      <c r="B189" s="32" t="s">
        <v>717</v>
      </c>
      <c r="C189" s="15">
        <v>13</v>
      </c>
      <c r="D189" s="44">
        <v>18750</v>
      </c>
      <c r="E189" s="44">
        <f t="shared" si="3"/>
        <v>243750</v>
      </c>
      <c r="G189" s="30"/>
    </row>
    <row r="190" spans="1:7" ht="15.75" thickBot="1" x14ac:dyDescent="0.3">
      <c r="A190" s="560" t="s">
        <v>473</v>
      </c>
      <c r="B190" s="57" t="s">
        <v>112</v>
      </c>
      <c r="C190" s="51">
        <v>54</v>
      </c>
      <c r="D190" s="44">
        <v>450</v>
      </c>
      <c r="E190" s="44">
        <f t="shared" si="3"/>
        <v>24300</v>
      </c>
      <c r="G190" s="205"/>
    </row>
    <row r="191" spans="1:7" ht="17.25" thickBot="1" x14ac:dyDescent="0.3">
      <c r="A191" s="112"/>
      <c r="B191" s="112" t="s">
        <v>516</v>
      </c>
      <c r="C191" s="112"/>
      <c r="D191" s="201"/>
      <c r="E191" s="201">
        <f>SUM(E159:E190)</f>
        <v>1362775.5384615385</v>
      </c>
      <c r="G191" s="201"/>
    </row>
    <row r="192" spans="1:7" x14ac:dyDescent="0.25">
      <c r="G192" s="27"/>
    </row>
    <row r="193" spans="1:7" x14ac:dyDescent="0.25">
      <c r="G193" s="27"/>
    </row>
    <row r="194" spans="1:7" ht="15.75" thickBot="1" x14ac:dyDescent="0.3">
      <c r="G194" s="27"/>
    </row>
    <row r="195" spans="1:7" ht="33.75" thickBot="1" x14ac:dyDescent="0.3">
      <c r="A195" s="395" t="s">
        <v>228</v>
      </c>
      <c r="B195" s="395" t="s">
        <v>85</v>
      </c>
      <c r="C195" s="395" t="s">
        <v>229</v>
      </c>
      <c r="D195" s="25" t="s">
        <v>123</v>
      </c>
      <c r="E195" s="25" t="s">
        <v>230</v>
      </c>
      <c r="G195" s="25"/>
    </row>
    <row r="196" spans="1:7" ht="15.75" thickBot="1" x14ac:dyDescent="0.3">
      <c r="A196" s="558" t="s">
        <v>517</v>
      </c>
      <c r="B196" s="48" t="s">
        <v>521</v>
      </c>
      <c r="C196" s="47">
        <v>130</v>
      </c>
      <c r="D196" s="44">
        <v>1753</v>
      </c>
      <c r="E196" s="44">
        <f t="shared" ref="E196:E222" si="4">D196*C196</f>
        <v>227890</v>
      </c>
      <c r="G196" s="204"/>
    </row>
    <row r="197" spans="1:7" ht="15.75" thickBot="1" x14ac:dyDescent="0.3">
      <c r="A197" s="559" t="s">
        <v>517</v>
      </c>
      <c r="B197" s="32" t="s">
        <v>533</v>
      </c>
      <c r="C197" s="15">
        <v>4</v>
      </c>
      <c r="D197" s="44">
        <v>2089.48</v>
      </c>
      <c r="E197" s="44">
        <f t="shared" si="4"/>
        <v>8357.92</v>
      </c>
      <c r="G197" s="203"/>
    </row>
    <row r="198" spans="1:7" ht="15.75" thickBot="1" x14ac:dyDescent="0.3">
      <c r="A198" s="559" t="s">
        <v>517</v>
      </c>
      <c r="B198" s="32" t="s">
        <v>126</v>
      </c>
      <c r="C198" s="15">
        <v>1</v>
      </c>
      <c r="D198" s="44">
        <v>8540</v>
      </c>
      <c r="E198" s="44">
        <f t="shared" si="4"/>
        <v>8540</v>
      </c>
      <c r="G198" s="30"/>
    </row>
    <row r="199" spans="1:7" ht="45.75" thickBot="1" x14ac:dyDescent="0.3">
      <c r="A199" s="559" t="s">
        <v>517</v>
      </c>
      <c r="B199" s="32" t="s">
        <v>129</v>
      </c>
      <c r="C199" s="15">
        <v>2</v>
      </c>
      <c r="D199" s="44">
        <v>244998.75</v>
      </c>
      <c r="E199" s="44">
        <f t="shared" si="4"/>
        <v>489997.5</v>
      </c>
      <c r="G199" s="203"/>
    </row>
    <row r="200" spans="1:7" ht="30.75" thickBot="1" x14ac:dyDescent="0.3">
      <c r="A200" s="559" t="s">
        <v>517</v>
      </c>
      <c r="B200" s="32" t="s">
        <v>131</v>
      </c>
      <c r="C200" s="15">
        <v>2</v>
      </c>
      <c r="D200" s="44">
        <v>54499</v>
      </c>
      <c r="E200" s="44">
        <f t="shared" si="4"/>
        <v>108998</v>
      </c>
      <c r="G200" s="203"/>
    </row>
    <row r="201" spans="1:7" ht="30.75" thickBot="1" x14ac:dyDescent="0.3">
      <c r="A201" s="559" t="s">
        <v>517</v>
      </c>
      <c r="B201" s="32" t="s">
        <v>133</v>
      </c>
      <c r="C201" s="15">
        <v>4</v>
      </c>
      <c r="D201" s="44">
        <v>57249</v>
      </c>
      <c r="E201" s="44">
        <f t="shared" si="4"/>
        <v>228996</v>
      </c>
      <c r="G201" s="203"/>
    </row>
    <row r="202" spans="1:7" ht="15.75" thickBot="1" x14ac:dyDescent="0.3">
      <c r="A202" s="559" t="s">
        <v>517</v>
      </c>
      <c r="B202" s="32" t="s">
        <v>718</v>
      </c>
      <c r="C202" s="15">
        <v>1</v>
      </c>
      <c r="D202" s="44">
        <v>10400</v>
      </c>
      <c r="E202" s="44">
        <f t="shared" si="4"/>
        <v>10400</v>
      </c>
      <c r="G202" s="30"/>
    </row>
    <row r="203" spans="1:7" ht="30.75" thickBot="1" x14ac:dyDescent="0.3">
      <c r="A203" s="559" t="s">
        <v>517</v>
      </c>
      <c r="B203" s="32" t="s">
        <v>523</v>
      </c>
      <c r="C203" s="15">
        <v>8</v>
      </c>
      <c r="D203" s="44">
        <v>710</v>
      </c>
      <c r="E203" s="44">
        <f t="shared" si="4"/>
        <v>5680</v>
      </c>
      <c r="G203" s="30"/>
    </row>
    <row r="204" spans="1:7" ht="15.75" thickBot="1" x14ac:dyDescent="0.3">
      <c r="A204" s="559" t="s">
        <v>517</v>
      </c>
      <c r="B204" s="32" t="s">
        <v>525</v>
      </c>
      <c r="C204" s="15">
        <v>8</v>
      </c>
      <c r="D204" s="44">
        <v>659.99</v>
      </c>
      <c r="E204" s="44">
        <f t="shared" si="4"/>
        <v>5279.92</v>
      </c>
      <c r="G204" s="203"/>
    </row>
    <row r="205" spans="1:7" ht="15.75" thickBot="1" x14ac:dyDescent="0.3">
      <c r="A205" s="559" t="s">
        <v>517</v>
      </c>
      <c r="B205" s="32" t="s">
        <v>527</v>
      </c>
      <c r="C205" s="15">
        <v>45</v>
      </c>
      <c r="D205" s="44">
        <v>2410.9</v>
      </c>
      <c r="E205" s="44">
        <f t="shared" si="4"/>
        <v>108490.5</v>
      </c>
      <c r="G205" s="203"/>
    </row>
    <row r="206" spans="1:7" ht="15.75" thickBot="1" x14ac:dyDescent="0.3">
      <c r="A206" s="559" t="s">
        <v>517</v>
      </c>
      <c r="B206" s="32" t="s">
        <v>136</v>
      </c>
      <c r="C206" s="15">
        <v>13</v>
      </c>
      <c r="D206" s="44">
        <v>11022</v>
      </c>
      <c r="E206" s="44">
        <f t="shared" si="4"/>
        <v>143286</v>
      </c>
      <c r="G206" s="30"/>
    </row>
    <row r="207" spans="1:7" ht="30.75" thickBot="1" x14ac:dyDescent="0.3">
      <c r="A207" s="559" t="s">
        <v>517</v>
      </c>
      <c r="B207" s="32" t="s">
        <v>530</v>
      </c>
      <c r="C207" s="15">
        <v>52</v>
      </c>
      <c r="D207" s="44">
        <v>2134</v>
      </c>
      <c r="E207" s="44">
        <f t="shared" si="4"/>
        <v>110968</v>
      </c>
      <c r="G207" s="30"/>
    </row>
    <row r="208" spans="1:7" ht="15.75" thickBot="1" x14ac:dyDescent="0.3">
      <c r="A208" s="559" t="s">
        <v>517</v>
      </c>
      <c r="B208" s="32" t="s">
        <v>138</v>
      </c>
      <c r="C208" s="15">
        <v>2</v>
      </c>
      <c r="D208" s="44">
        <v>250260</v>
      </c>
      <c r="E208" s="44">
        <f t="shared" si="4"/>
        <v>500520</v>
      </c>
      <c r="G208" s="203"/>
    </row>
    <row r="209" spans="1:7" ht="15.75" thickBot="1" x14ac:dyDescent="0.3">
      <c r="A209" s="559" t="s">
        <v>517</v>
      </c>
      <c r="B209" s="32" t="s">
        <v>140</v>
      </c>
      <c r="C209" s="15">
        <v>2</v>
      </c>
      <c r="D209" s="44">
        <v>75650</v>
      </c>
      <c r="E209" s="44">
        <f t="shared" si="4"/>
        <v>151300</v>
      </c>
      <c r="G209" s="203"/>
    </row>
    <row r="210" spans="1:7" ht="15.75" thickBot="1" x14ac:dyDescent="0.3">
      <c r="A210" s="559" t="s">
        <v>517</v>
      </c>
      <c r="B210" s="32" t="s">
        <v>142</v>
      </c>
      <c r="C210" s="15">
        <v>2</v>
      </c>
      <c r="D210" s="44">
        <v>181147</v>
      </c>
      <c r="E210" s="44">
        <f t="shared" si="4"/>
        <v>362294</v>
      </c>
      <c r="G210" s="203"/>
    </row>
    <row r="211" spans="1:7" ht="15.75" thickBot="1" x14ac:dyDescent="0.3">
      <c r="A211" s="559" t="s">
        <v>517</v>
      </c>
      <c r="B211" s="32" t="s">
        <v>144</v>
      </c>
      <c r="C211" s="15">
        <v>6</v>
      </c>
      <c r="D211" s="44">
        <v>247000</v>
      </c>
      <c r="E211" s="44">
        <f t="shared" si="4"/>
        <v>1482000</v>
      </c>
      <c r="G211" s="203"/>
    </row>
    <row r="212" spans="1:7" ht="15.75" thickBot="1" x14ac:dyDescent="0.3">
      <c r="A212" s="559" t="s">
        <v>517</v>
      </c>
      <c r="B212" s="32" t="s">
        <v>146</v>
      </c>
      <c r="C212" s="15">
        <v>1</v>
      </c>
      <c r="D212" s="44">
        <v>12740</v>
      </c>
      <c r="E212" s="44">
        <f t="shared" si="4"/>
        <v>12740</v>
      </c>
      <c r="G212" s="203"/>
    </row>
    <row r="213" spans="1:7" ht="15.75" thickBot="1" x14ac:dyDescent="0.3">
      <c r="A213" s="559" t="s">
        <v>517</v>
      </c>
      <c r="B213" s="32" t="s">
        <v>148</v>
      </c>
      <c r="C213" s="15">
        <v>1</v>
      </c>
      <c r="D213" s="44">
        <v>24190</v>
      </c>
      <c r="E213" s="44">
        <f t="shared" si="4"/>
        <v>24190</v>
      </c>
      <c r="G213" s="203"/>
    </row>
    <row r="214" spans="1:7" ht="15.75" thickBot="1" x14ac:dyDescent="0.3">
      <c r="A214" s="559" t="s">
        <v>517</v>
      </c>
      <c r="B214" s="32" t="s">
        <v>150</v>
      </c>
      <c r="C214" s="15">
        <v>1</v>
      </c>
      <c r="D214" s="44">
        <v>61950</v>
      </c>
      <c r="E214" s="44">
        <f t="shared" si="4"/>
        <v>61950</v>
      </c>
      <c r="G214" s="30"/>
    </row>
    <row r="215" spans="1:7" ht="15.75" thickBot="1" x14ac:dyDescent="0.3">
      <c r="A215" s="559" t="s">
        <v>517</v>
      </c>
      <c r="B215" s="32" t="s">
        <v>152</v>
      </c>
      <c r="C215" s="15">
        <v>3</v>
      </c>
      <c r="D215" s="44">
        <v>22080</v>
      </c>
      <c r="E215" s="44">
        <f t="shared" si="4"/>
        <v>66240</v>
      </c>
      <c r="G215" s="203"/>
    </row>
    <row r="216" spans="1:7" ht="15.75" thickBot="1" x14ac:dyDescent="0.3">
      <c r="A216" s="559" t="s">
        <v>517</v>
      </c>
      <c r="B216" s="32" t="s">
        <v>154</v>
      </c>
      <c r="C216" s="15">
        <v>1</v>
      </c>
      <c r="D216" s="44">
        <v>16630</v>
      </c>
      <c r="E216" s="44">
        <f t="shared" si="4"/>
        <v>16630</v>
      </c>
      <c r="G216" s="30"/>
    </row>
    <row r="217" spans="1:7" ht="15.75" thickBot="1" x14ac:dyDescent="0.3">
      <c r="A217" s="559" t="s">
        <v>517</v>
      </c>
      <c r="B217" s="32" t="s">
        <v>156</v>
      </c>
      <c r="C217" s="15">
        <v>1</v>
      </c>
      <c r="D217" s="44">
        <v>72745</v>
      </c>
      <c r="E217" s="44">
        <f t="shared" si="4"/>
        <v>72745</v>
      </c>
      <c r="G217" s="203"/>
    </row>
    <row r="218" spans="1:7" ht="15.75" thickBot="1" x14ac:dyDescent="0.3">
      <c r="A218" s="559" t="s">
        <v>517</v>
      </c>
      <c r="B218" s="32" t="s">
        <v>158</v>
      </c>
      <c r="C218" s="15">
        <v>2</v>
      </c>
      <c r="D218" s="44">
        <v>18224</v>
      </c>
      <c r="E218" s="44">
        <f t="shared" si="4"/>
        <v>36448</v>
      </c>
      <c r="G218" s="203"/>
    </row>
    <row r="219" spans="1:7" ht="15.75" thickBot="1" x14ac:dyDescent="0.3">
      <c r="A219" s="559" t="s">
        <v>517</v>
      </c>
      <c r="B219" s="32" t="s">
        <v>160</v>
      </c>
      <c r="C219" s="15">
        <v>2</v>
      </c>
      <c r="D219" s="44">
        <v>47215</v>
      </c>
      <c r="E219" s="44">
        <f t="shared" si="4"/>
        <v>94430</v>
      </c>
      <c r="G219" s="30"/>
    </row>
    <row r="220" spans="1:7" ht="15.75" thickBot="1" x14ac:dyDescent="0.3">
      <c r="A220" s="559" t="s">
        <v>517</v>
      </c>
      <c r="B220" s="32" t="s">
        <v>162</v>
      </c>
      <c r="C220" s="15">
        <v>3</v>
      </c>
      <c r="D220" s="44">
        <v>108900</v>
      </c>
      <c r="E220" s="44">
        <f t="shared" si="4"/>
        <v>326700</v>
      </c>
      <c r="G220" s="203"/>
    </row>
    <row r="221" spans="1:7" ht="30.75" thickBot="1" x14ac:dyDescent="0.3">
      <c r="A221" s="559" t="s">
        <v>517</v>
      </c>
      <c r="B221" s="32" t="s">
        <v>164</v>
      </c>
      <c r="C221" s="15">
        <v>4</v>
      </c>
      <c r="D221" s="44">
        <v>48964</v>
      </c>
      <c r="E221" s="44">
        <f t="shared" si="4"/>
        <v>195856</v>
      </c>
      <c r="G221" s="30"/>
    </row>
    <row r="222" spans="1:7" ht="15.75" thickBot="1" x14ac:dyDescent="0.3">
      <c r="A222" s="560" t="s">
        <v>517</v>
      </c>
      <c r="B222" s="57" t="s">
        <v>166</v>
      </c>
      <c r="C222" s="51">
        <v>2</v>
      </c>
      <c r="D222" s="44">
        <v>2692.3</v>
      </c>
      <c r="E222" s="44">
        <f t="shared" si="4"/>
        <v>5384.6</v>
      </c>
      <c r="G222" s="205"/>
    </row>
    <row r="223" spans="1:7" ht="17.25" thickBot="1" x14ac:dyDescent="0.3">
      <c r="A223" s="112"/>
      <c r="B223" s="112" t="s">
        <v>534</v>
      </c>
      <c r="C223" s="112"/>
      <c r="D223" s="201"/>
      <c r="E223" s="201">
        <f>SUM(E196:E222)</f>
        <v>4866311.4399999995</v>
      </c>
      <c r="G223" s="201"/>
    </row>
    <row r="224" spans="1:7" x14ac:dyDescent="0.25">
      <c r="G224" s="27"/>
    </row>
    <row r="225" spans="1:7" ht="15.75" thickBot="1" x14ac:dyDescent="0.3">
      <c r="G225" s="27"/>
    </row>
    <row r="226" spans="1:7" ht="33.75" thickBot="1" x14ac:dyDescent="0.3">
      <c r="A226" s="395" t="s">
        <v>228</v>
      </c>
      <c r="B226" s="395" t="s">
        <v>85</v>
      </c>
      <c r="C226" s="395" t="s">
        <v>229</v>
      </c>
      <c r="D226" s="201" t="s">
        <v>123</v>
      </c>
      <c r="E226" s="201" t="s">
        <v>230</v>
      </c>
      <c r="G226" s="201"/>
    </row>
    <row r="227" spans="1:7" ht="15.75" thickBot="1" x14ac:dyDescent="0.3">
      <c r="A227" s="558" t="s">
        <v>535</v>
      </c>
      <c r="B227" s="48" t="s">
        <v>169</v>
      </c>
      <c r="C227" s="47">
        <v>8</v>
      </c>
      <c r="D227" s="44">
        <f>79000*1.15</f>
        <v>90850</v>
      </c>
      <c r="E227" s="44">
        <f t="shared" ref="E227:E236" si="5">D227*C227</f>
        <v>726800</v>
      </c>
      <c r="G227" s="204"/>
    </row>
    <row r="228" spans="1:7" ht="30.75" thickBot="1" x14ac:dyDescent="0.3">
      <c r="A228" s="559" t="s">
        <v>535</v>
      </c>
      <c r="B228" s="32" t="s">
        <v>172</v>
      </c>
      <c r="C228" s="15">
        <v>9</v>
      </c>
      <c r="D228" s="44">
        <v>4932</v>
      </c>
      <c r="E228" s="44">
        <f t="shared" si="5"/>
        <v>44388</v>
      </c>
      <c r="G228" s="30"/>
    </row>
    <row r="229" spans="1:7" ht="15.75" thickBot="1" x14ac:dyDescent="0.3">
      <c r="A229" s="559" t="s">
        <v>535</v>
      </c>
      <c r="B229" s="32" t="s">
        <v>174</v>
      </c>
      <c r="C229" s="15">
        <v>18</v>
      </c>
      <c r="D229" s="44">
        <v>92</v>
      </c>
      <c r="E229" s="44">
        <f t="shared" si="5"/>
        <v>1656</v>
      </c>
      <c r="G229" s="30"/>
    </row>
    <row r="230" spans="1:7" ht="15.75" thickBot="1" x14ac:dyDescent="0.3">
      <c r="A230" s="559" t="s">
        <v>535</v>
      </c>
      <c r="B230" s="32" t="s">
        <v>177</v>
      </c>
      <c r="C230" s="15">
        <v>9</v>
      </c>
      <c r="D230" s="44">
        <v>65</v>
      </c>
      <c r="E230" s="44">
        <f t="shared" si="5"/>
        <v>585</v>
      </c>
      <c r="G230" s="30"/>
    </row>
    <row r="231" spans="1:7" ht="15.75" thickBot="1" x14ac:dyDescent="0.3">
      <c r="A231" s="559" t="s">
        <v>535</v>
      </c>
      <c r="B231" s="32" t="s">
        <v>538</v>
      </c>
      <c r="C231" s="15">
        <v>9</v>
      </c>
      <c r="D231" s="44">
        <v>2750</v>
      </c>
      <c r="E231" s="44">
        <f t="shared" si="5"/>
        <v>24750</v>
      </c>
      <c r="G231" s="30"/>
    </row>
    <row r="232" spans="1:7" ht="30.75" thickBot="1" x14ac:dyDescent="0.3">
      <c r="A232" s="559" t="s">
        <v>535</v>
      </c>
      <c r="B232" s="32" t="s">
        <v>540</v>
      </c>
      <c r="C232" s="15">
        <v>9</v>
      </c>
      <c r="D232" s="44">
        <v>1240</v>
      </c>
      <c r="E232" s="44">
        <f t="shared" si="5"/>
        <v>11160</v>
      </c>
      <c r="G232" s="30"/>
    </row>
    <row r="233" spans="1:7" ht="15.75" thickBot="1" x14ac:dyDescent="0.3">
      <c r="A233" s="559" t="s">
        <v>535</v>
      </c>
      <c r="B233" s="32" t="s">
        <v>542</v>
      </c>
      <c r="C233" s="15">
        <v>9</v>
      </c>
      <c r="D233" s="44">
        <v>62</v>
      </c>
      <c r="E233" s="44">
        <f t="shared" si="5"/>
        <v>558</v>
      </c>
      <c r="G233" s="30"/>
    </row>
    <row r="234" spans="1:7" ht="15.75" thickBot="1" x14ac:dyDescent="0.3">
      <c r="A234" s="559" t="s">
        <v>535</v>
      </c>
      <c r="B234" s="32" t="s">
        <v>544</v>
      </c>
      <c r="C234" s="15">
        <v>9</v>
      </c>
      <c r="D234" s="44">
        <v>65</v>
      </c>
      <c r="E234" s="44">
        <f t="shared" si="5"/>
        <v>585</v>
      </c>
      <c r="G234" s="30"/>
    </row>
    <row r="235" spans="1:7" ht="30.75" thickBot="1" x14ac:dyDescent="0.3">
      <c r="A235" s="559" t="s">
        <v>535</v>
      </c>
      <c r="B235" s="32" t="s">
        <v>546</v>
      </c>
      <c r="C235" s="15">
        <v>9</v>
      </c>
      <c r="D235" s="44">
        <v>500</v>
      </c>
      <c r="E235" s="44">
        <f t="shared" si="5"/>
        <v>4500</v>
      </c>
      <c r="G235" s="30"/>
    </row>
    <row r="236" spans="1:7" ht="15.75" thickBot="1" x14ac:dyDescent="0.3">
      <c r="A236" s="560" t="s">
        <v>535</v>
      </c>
      <c r="B236" s="57" t="s">
        <v>548</v>
      </c>
      <c r="C236" s="51">
        <v>9</v>
      </c>
      <c r="D236" s="44">
        <v>218</v>
      </c>
      <c r="E236" s="44">
        <f t="shared" si="5"/>
        <v>1962</v>
      </c>
      <c r="G236" s="200"/>
    </row>
    <row r="237" spans="1:7" ht="17.25" thickBot="1" x14ac:dyDescent="0.3">
      <c r="A237" s="112"/>
      <c r="B237" s="112" t="s">
        <v>549</v>
      </c>
      <c r="C237" s="112"/>
      <c r="D237" s="201"/>
      <c r="E237" s="201">
        <f>SUM(E227:E236)</f>
        <v>816944</v>
      </c>
      <c r="G237" s="201"/>
    </row>
    <row r="238" spans="1:7" x14ac:dyDescent="0.25">
      <c r="G238" s="27"/>
    </row>
    <row r="239" spans="1:7" ht="15.75" thickBot="1" x14ac:dyDescent="0.3">
      <c r="G239" s="27"/>
    </row>
    <row r="240" spans="1:7" ht="33.75" thickBot="1" x14ac:dyDescent="0.3">
      <c r="A240" s="395" t="s">
        <v>228</v>
      </c>
      <c r="B240" s="395" t="s">
        <v>85</v>
      </c>
      <c r="C240" s="395" t="s">
        <v>229</v>
      </c>
      <c r="D240" s="201" t="s">
        <v>123</v>
      </c>
      <c r="E240" s="201" t="s">
        <v>230</v>
      </c>
      <c r="G240" s="201"/>
    </row>
    <row r="241" spans="1:8" ht="33.75" thickBot="1" x14ac:dyDescent="0.3">
      <c r="A241" s="112" t="s">
        <v>552</v>
      </c>
      <c r="B241" s="93" t="s">
        <v>182</v>
      </c>
      <c r="C241" s="128">
        <v>30</v>
      </c>
      <c r="D241" s="44">
        <v>1000</v>
      </c>
      <c r="E241" s="44">
        <f t="shared" ref="E241" si="6">D241*C241</f>
        <v>30000</v>
      </c>
      <c r="G241" s="213"/>
    </row>
    <row r="242" spans="1:8" ht="17.25" thickBot="1" x14ac:dyDescent="0.3">
      <c r="A242" s="112"/>
      <c r="B242" s="112" t="s">
        <v>553</v>
      </c>
      <c r="C242" s="112"/>
      <c r="D242" s="201"/>
      <c r="E242" s="201">
        <f>+E241</f>
        <v>30000</v>
      </c>
      <c r="G242" s="201"/>
    </row>
    <row r="243" spans="1:8" x14ac:dyDescent="0.25">
      <c r="G243" s="27"/>
    </row>
    <row r="244" spans="1:8" ht="15.75" thickBot="1" x14ac:dyDescent="0.3">
      <c r="G244" s="27"/>
    </row>
    <row r="245" spans="1:8" ht="33.75" thickBot="1" x14ac:dyDescent="0.3">
      <c r="A245" s="395" t="s">
        <v>228</v>
      </c>
      <c r="B245" s="395" t="s">
        <v>85</v>
      </c>
      <c r="C245" s="395" t="s">
        <v>229</v>
      </c>
      <c r="D245" s="25" t="s">
        <v>123</v>
      </c>
      <c r="E245" s="25" t="s">
        <v>556</v>
      </c>
      <c r="G245" s="25"/>
    </row>
    <row r="246" spans="1:8" ht="15.75" thickBot="1" x14ac:dyDescent="0.3">
      <c r="A246" s="553" t="s">
        <v>554</v>
      </c>
      <c r="B246" s="48" t="s">
        <v>188</v>
      </c>
      <c r="C246" s="47">
        <v>9</v>
      </c>
      <c r="D246" s="44">
        <v>2856</v>
      </c>
      <c r="E246" s="44">
        <f t="shared" ref="E246:E256" si="7">D246*C246</f>
        <v>25704</v>
      </c>
      <c r="G246" s="204"/>
    </row>
    <row r="247" spans="1:8" ht="15.75" thickBot="1" x14ac:dyDescent="0.3">
      <c r="A247" s="554"/>
      <c r="B247" s="32" t="s">
        <v>723</v>
      </c>
      <c r="C247" s="15">
        <v>9</v>
      </c>
      <c r="D247" s="44">
        <v>458.39</v>
      </c>
      <c r="E247" s="44">
        <f t="shared" si="7"/>
        <v>4125.51</v>
      </c>
      <c r="G247" s="203"/>
    </row>
    <row r="248" spans="1:8" ht="15.75" thickBot="1" x14ac:dyDescent="0.3">
      <c r="A248" s="554"/>
      <c r="B248" s="32" t="s">
        <v>560</v>
      </c>
      <c r="C248" s="15">
        <v>9</v>
      </c>
      <c r="D248" s="44">
        <v>2562</v>
      </c>
      <c r="E248" s="44">
        <f t="shared" si="7"/>
        <v>23058</v>
      </c>
      <c r="G248" s="30"/>
    </row>
    <row r="249" spans="1:8" ht="15.75" thickBot="1" x14ac:dyDescent="0.3">
      <c r="A249" s="554"/>
      <c r="B249" s="32" t="s">
        <v>191</v>
      </c>
      <c r="C249" s="15">
        <v>5</v>
      </c>
      <c r="D249" s="44">
        <v>9040</v>
      </c>
      <c r="E249" s="44">
        <f t="shared" si="7"/>
        <v>45200</v>
      </c>
      <c r="G249" s="30"/>
    </row>
    <row r="250" spans="1:8" ht="15.75" thickBot="1" x14ac:dyDescent="0.3">
      <c r="A250" s="554"/>
      <c r="B250" s="32" t="s">
        <v>562</v>
      </c>
      <c r="C250" s="15">
        <v>9</v>
      </c>
      <c r="D250" s="44">
        <v>709</v>
      </c>
      <c r="E250" s="44">
        <f t="shared" si="7"/>
        <v>6381</v>
      </c>
      <c r="G250" s="203"/>
    </row>
    <row r="251" spans="1:8" ht="15.75" thickBot="1" x14ac:dyDescent="0.3">
      <c r="A251" s="554"/>
      <c r="B251" s="32" t="s">
        <v>564</v>
      </c>
      <c r="C251" s="15">
        <v>9</v>
      </c>
      <c r="D251" s="44">
        <v>164</v>
      </c>
      <c r="E251" s="44">
        <f t="shared" si="7"/>
        <v>1476</v>
      </c>
      <c r="G251" s="30"/>
    </row>
    <row r="252" spans="1:8" ht="15.75" thickBot="1" x14ac:dyDescent="0.3">
      <c r="A252" s="554"/>
      <c r="B252" s="32" t="s">
        <v>193</v>
      </c>
      <c r="C252" s="15">
        <v>1</v>
      </c>
      <c r="D252" s="44">
        <v>12000</v>
      </c>
      <c r="E252" s="44">
        <f t="shared" si="7"/>
        <v>12000</v>
      </c>
      <c r="G252" s="203"/>
    </row>
    <row r="253" spans="1:8" ht="15.75" thickBot="1" x14ac:dyDescent="0.3">
      <c r="A253" s="554"/>
      <c r="B253" s="32" t="s">
        <v>566</v>
      </c>
      <c r="C253" s="15">
        <v>23</v>
      </c>
      <c r="D253" s="44">
        <v>70</v>
      </c>
      <c r="E253" s="44">
        <f t="shared" si="7"/>
        <v>1610</v>
      </c>
      <c r="G253" s="30"/>
    </row>
    <row r="254" spans="1:8" ht="15.75" thickBot="1" x14ac:dyDescent="0.3">
      <c r="A254" s="554"/>
      <c r="B254" s="32" t="s">
        <v>568</v>
      </c>
      <c r="C254" s="15">
        <v>7</v>
      </c>
      <c r="D254" s="44">
        <v>2900</v>
      </c>
      <c r="E254" s="44">
        <f t="shared" si="7"/>
        <v>20300</v>
      </c>
      <c r="G254" s="203"/>
      <c r="H254" s="212"/>
    </row>
    <row r="255" spans="1:8" ht="15.75" thickBot="1" x14ac:dyDescent="0.3">
      <c r="A255" s="554"/>
      <c r="B255" s="32" t="s">
        <v>195</v>
      </c>
      <c r="C255" s="15">
        <v>10</v>
      </c>
      <c r="D255" s="44">
        <v>1300</v>
      </c>
      <c r="E255" s="44">
        <f t="shared" si="7"/>
        <v>13000</v>
      </c>
      <c r="G255" s="30"/>
    </row>
    <row r="256" spans="1:8" ht="15.75" thickBot="1" x14ac:dyDescent="0.3">
      <c r="A256" s="561"/>
      <c r="B256" s="57" t="s">
        <v>570</v>
      </c>
      <c r="C256" s="51">
        <v>10</v>
      </c>
      <c r="D256" s="44">
        <v>212</v>
      </c>
      <c r="E256" s="44">
        <f t="shared" si="7"/>
        <v>2120</v>
      </c>
      <c r="G256" s="200"/>
    </row>
    <row r="257" spans="1:7" ht="17.25" thickBot="1" x14ac:dyDescent="0.3">
      <c r="A257" s="112"/>
      <c r="B257" s="112" t="s">
        <v>571</v>
      </c>
      <c r="C257" s="112"/>
      <c r="D257" s="201"/>
      <c r="E257" s="201">
        <f>SUM(E246:E256)</f>
        <v>154974.51</v>
      </c>
      <c r="G257" s="201"/>
    </row>
    <row r="258" spans="1:7" x14ac:dyDescent="0.25">
      <c r="G258" s="27"/>
    </row>
    <row r="259" spans="1:7" x14ac:dyDescent="0.25">
      <c r="G259" s="27"/>
    </row>
    <row r="260" spans="1:7" ht="15.75" thickBot="1" x14ac:dyDescent="0.3">
      <c r="G260" s="27"/>
    </row>
    <row r="261" spans="1:7" ht="33.75" thickBot="1" x14ac:dyDescent="0.3">
      <c r="A261" s="395" t="s">
        <v>228</v>
      </c>
      <c r="B261" s="395" t="s">
        <v>85</v>
      </c>
      <c r="C261" s="395" t="s">
        <v>229</v>
      </c>
      <c r="D261" s="25" t="s">
        <v>123</v>
      </c>
      <c r="E261" s="25" t="s">
        <v>230</v>
      </c>
      <c r="G261" s="25"/>
    </row>
    <row r="262" spans="1:7" ht="15.75" thickBot="1" x14ac:dyDescent="0.3">
      <c r="A262" s="562" t="s">
        <v>572</v>
      </c>
      <c r="B262" s="104" t="s">
        <v>197</v>
      </c>
      <c r="C262" s="47">
        <v>2</v>
      </c>
      <c r="D262" s="44">
        <v>68118</v>
      </c>
      <c r="E262" s="44">
        <f t="shared" ref="E262:E264" si="8">D262*C262</f>
        <v>136236</v>
      </c>
      <c r="G262" s="204"/>
    </row>
    <row r="263" spans="1:7" ht="15.75" thickBot="1" x14ac:dyDescent="0.3">
      <c r="A263" s="563"/>
      <c r="B263" s="105" t="s">
        <v>199</v>
      </c>
      <c r="C263" s="15">
        <v>5</v>
      </c>
      <c r="D263" s="44">
        <v>24460</v>
      </c>
      <c r="E263" s="44">
        <f t="shared" si="8"/>
        <v>122300</v>
      </c>
      <c r="G263" s="203"/>
    </row>
    <row r="264" spans="1:7" ht="15.75" thickBot="1" x14ac:dyDescent="0.3">
      <c r="A264" s="564"/>
      <c r="B264" s="106" t="s">
        <v>201</v>
      </c>
      <c r="C264" s="51">
        <v>2</v>
      </c>
      <c r="D264" s="44">
        <v>2493</v>
      </c>
      <c r="E264" s="44">
        <f t="shared" si="8"/>
        <v>4986</v>
      </c>
      <c r="G264" s="200"/>
    </row>
    <row r="265" spans="1:7" ht="17.25" thickBot="1" x14ac:dyDescent="0.3">
      <c r="A265" s="112"/>
      <c r="B265" s="112" t="s">
        <v>574</v>
      </c>
      <c r="C265" s="112"/>
      <c r="D265" s="201"/>
      <c r="E265" s="201">
        <f>SUM(E262:E264)</f>
        <v>263522</v>
      </c>
      <c r="G265" s="201"/>
    </row>
    <row r="266" spans="1:7" x14ac:dyDescent="0.25">
      <c r="G266" s="27"/>
    </row>
    <row r="267" spans="1:7" x14ac:dyDescent="0.25">
      <c r="G267" s="27"/>
    </row>
    <row r="268" spans="1:7" ht="15.75" thickBot="1" x14ac:dyDescent="0.3">
      <c r="G268" s="27"/>
    </row>
    <row r="269" spans="1:7" ht="33.75" thickBot="1" x14ac:dyDescent="0.3">
      <c r="A269" s="395" t="s">
        <v>228</v>
      </c>
      <c r="B269" s="112" t="s">
        <v>85</v>
      </c>
      <c r="C269" s="112" t="s">
        <v>229</v>
      </c>
      <c r="D269" s="201" t="s">
        <v>123</v>
      </c>
      <c r="E269" s="201" t="s">
        <v>230</v>
      </c>
      <c r="G269" s="201"/>
    </row>
    <row r="270" spans="1:7" ht="33.75" thickBot="1" x14ac:dyDescent="0.3">
      <c r="A270" s="112" t="s">
        <v>575</v>
      </c>
      <c r="B270" s="107" t="s">
        <v>686</v>
      </c>
      <c r="C270" s="394">
        <v>1</v>
      </c>
      <c r="D270" s="44">
        <v>172012</v>
      </c>
      <c r="E270" s="44">
        <f t="shared" ref="E270" si="9">D270*C270</f>
        <v>172012</v>
      </c>
      <c r="G270" s="213"/>
    </row>
    <row r="271" spans="1:7" ht="17.25" thickBot="1" x14ac:dyDescent="0.3">
      <c r="A271" s="112"/>
      <c r="B271" s="112" t="s">
        <v>577</v>
      </c>
      <c r="C271" s="112"/>
      <c r="D271" s="201"/>
      <c r="E271" s="201">
        <f>+E270</f>
        <v>172012</v>
      </c>
      <c r="G271" s="201"/>
    </row>
    <row r="272" spans="1:7" x14ac:dyDescent="0.25">
      <c r="G272" s="27"/>
    </row>
    <row r="273" spans="1:7" ht="15.75" thickBot="1" x14ac:dyDescent="0.3">
      <c r="G273" s="27"/>
    </row>
    <row r="274" spans="1:7" ht="33.75" thickBot="1" x14ac:dyDescent="0.3">
      <c r="A274" s="395" t="s">
        <v>228</v>
      </c>
      <c r="B274" s="395" t="s">
        <v>85</v>
      </c>
      <c r="C274" s="112" t="s">
        <v>229</v>
      </c>
      <c r="D274" s="25" t="s">
        <v>123</v>
      </c>
      <c r="E274" s="25" t="s">
        <v>230</v>
      </c>
      <c r="G274" s="25"/>
    </row>
    <row r="275" spans="1:7" ht="50.25" thickBot="1" x14ac:dyDescent="0.3">
      <c r="A275" s="112" t="s">
        <v>578</v>
      </c>
      <c r="B275" s="109" t="s">
        <v>205</v>
      </c>
      <c r="C275" s="394">
        <v>1</v>
      </c>
      <c r="D275" s="44">
        <f>D227</f>
        <v>90850</v>
      </c>
      <c r="E275" s="44">
        <f t="shared" ref="E275" si="10">D275*C275</f>
        <v>90850</v>
      </c>
      <c r="G275" s="206"/>
    </row>
    <row r="276" spans="1:7" ht="17.25" thickBot="1" x14ac:dyDescent="0.3">
      <c r="A276" s="112"/>
      <c r="B276" s="112" t="s">
        <v>580</v>
      </c>
      <c r="C276" s="112"/>
      <c r="D276" s="201"/>
      <c r="E276" s="201">
        <f>+E275</f>
        <v>90850</v>
      </c>
      <c r="G276" s="201"/>
    </row>
    <row r="277" spans="1:7" x14ac:dyDescent="0.25">
      <c r="G277" s="27"/>
    </row>
    <row r="278" spans="1:7" ht="15.75" thickBot="1" x14ac:dyDescent="0.3">
      <c r="G278" s="27"/>
    </row>
    <row r="279" spans="1:7" ht="33.75" thickBot="1" x14ac:dyDescent="0.3">
      <c r="A279" s="395" t="s">
        <v>228</v>
      </c>
      <c r="B279" s="395" t="s">
        <v>85</v>
      </c>
      <c r="C279" s="395" t="s">
        <v>229</v>
      </c>
      <c r="D279" s="25" t="s">
        <v>123</v>
      </c>
      <c r="E279" s="25" t="s">
        <v>230</v>
      </c>
      <c r="G279" s="25"/>
    </row>
    <row r="280" spans="1:7" ht="30.75" thickBot="1" x14ac:dyDescent="0.3">
      <c r="A280" s="558" t="s">
        <v>581</v>
      </c>
      <c r="B280" s="48" t="s">
        <v>208</v>
      </c>
      <c r="C280" s="47">
        <v>14</v>
      </c>
      <c r="D280" s="44">
        <v>570</v>
      </c>
      <c r="E280" s="44">
        <f t="shared" ref="E280:E283" si="11">D280*C280</f>
        <v>7980</v>
      </c>
      <c r="G280" s="44"/>
    </row>
    <row r="281" spans="1:7" ht="30.75" thickBot="1" x14ac:dyDescent="0.3">
      <c r="A281" s="559" t="s">
        <v>581</v>
      </c>
      <c r="B281" s="32" t="s">
        <v>210</v>
      </c>
      <c r="C281" s="15">
        <v>8</v>
      </c>
      <c r="D281" s="44">
        <f>3334*1.19</f>
        <v>3967.46</v>
      </c>
      <c r="E281" s="44">
        <f t="shared" si="11"/>
        <v>31739.68</v>
      </c>
      <c r="G281" s="203"/>
    </row>
    <row r="282" spans="1:7" ht="30.75" thickBot="1" x14ac:dyDescent="0.3">
      <c r="A282" s="559" t="s">
        <v>581</v>
      </c>
      <c r="B282" s="32" t="s">
        <v>584</v>
      </c>
      <c r="C282" s="15">
        <v>14</v>
      </c>
      <c r="D282" s="44">
        <v>24870</v>
      </c>
      <c r="E282" s="44">
        <f t="shared" si="11"/>
        <v>348180</v>
      </c>
      <c r="G282" s="203"/>
    </row>
    <row r="283" spans="1:7" ht="15.75" thickBot="1" x14ac:dyDescent="0.3">
      <c r="A283" s="560" t="s">
        <v>581</v>
      </c>
      <c r="B283" s="57" t="s">
        <v>212</v>
      </c>
      <c r="C283" s="51">
        <v>8</v>
      </c>
      <c r="D283" s="44">
        <v>42800</v>
      </c>
      <c r="E283" s="44">
        <f t="shared" si="11"/>
        <v>342400</v>
      </c>
      <c r="G283" s="205"/>
    </row>
    <row r="284" spans="1:7" ht="17.25" thickBot="1" x14ac:dyDescent="0.3">
      <c r="A284" s="112"/>
      <c r="B284" s="112" t="s">
        <v>585</v>
      </c>
      <c r="C284" s="112"/>
      <c r="D284" s="201"/>
      <c r="E284" s="201">
        <f>SUM(E280:E283)</f>
        <v>730299.67999999993</v>
      </c>
      <c r="G284" s="201"/>
    </row>
    <row r="285" spans="1:7" x14ac:dyDescent="0.25">
      <c r="G285" s="27"/>
    </row>
    <row r="286" spans="1:7" ht="15.75" thickBot="1" x14ac:dyDescent="0.3">
      <c r="G286" s="27"/>
    </row>
    <row r="287" spans="1:7" ht="33.75" thickBot="1" x14ac:dyDescent="0.3">
      <c r="A287" s="395" t="s">
        <v>228</v>
      </c>
      <c r="B287" s="395" t="s">
        <v>85</v>
      </c>
      <c r="C287" s="395" t="s">
        <v>229</v>
      </c>
      <c r="D287" s="25" t="s">
        <v>123</v>
      </c>
      <c r="E287" s="25" t="s">
        <v>230</v>
      </c>
      <c r="G287" s="25"/>
    </row>
    <row r="288" spans="1:7" ht="15.75" thickBot="1" x14ac:dyDescent="0.3">
      <c r="A288" s="565" t="s">
        <v>586</v>
      </c>
      <c r="B288" s="48" t="s">
        <v>214</v>
      </c>
      <c r="C288" s="47">
        <v>1</v>
      </c>
      <c r="D288" s="44">
        <v>1600</v>
      </c>
      <c r="E288" s="44">
        <f>D288*C288</f>
        <v>1600</v>
      </c>
      <c r="G288" s="204"/>
    </row>
    <row r="289" spans="1:7" ht="15.75" thickBot="1" x14ac:dyDescent="0.3">
      <c r="A289" s="566"/>
      <c r="B289" s="32" t="s">
        <v>216</v>
      </c>
      <c r="C289" s="15">
        <v>1</v>
      </c>
      <c r="D289" s="44">
        <v>3058</v>
      </c>
      <c r="E289" s="44">
        <f t="shared" ref="E289:E292" si="12">D289*C289</f>
        <v>3058</v>
      </c>
      <c r="G289" s="203"/>
    </row>
    <row r="290" spans="1:7" ht="15.75" thickBot="1" x14ac:dyDescent="0.3">
      <c r="A290" s="566"/>
      <c r="B290" s="32" t="s">
        <v>218</v>
      </c>
      <c r="C290" s="15">
        <v>4</v>
      </c>
      <c r="D290" s="44">
        <v>2880</v>
      </c>
      <c r="E290" s="44">
        <f t="shared" si="12"/>
        <v>11520</v>
      </c>
      <c r="G290" s="203"/>
    </row>
    <row r="291" spans="1:7" ht="15.75" thickBot="1" x14ac:dyDescent="0.3">
      <c r="A291" s="566"/>
      <c r="B291" s="32" t="s">
        <v>220</v>
      </c>
      <c r="C291" s="15">
        <v>1</v>
      </c>
      <c r="D291" s="44">
        <v>1990</v>
      </c>
      <c r="E291" s="44">
        <f t="shared" si="12"/>
        <v>1990</v>
      </c>
      <c r="G291" s="203"/>
    </row>
    <row r="292" spans="1:7" ht="15.75" thickBot="1" x14ac:dyDescent="0.3">
      <c r="A292" s="567"/>
      <c r="B292" s="57" t="s">
        <v>222</v>
      </c>
      <c r="C292" s="51">
        <v>1</v>
      </c>
      <c r="D292" s="44">
        <v>43500</v>
      </c>
      <c r="E292" s="44">
        <f t="shared" si="12"/>
        <v>43500</v>
      </c>
      <c r="G292" s="205"/>
    </row>
    <row r="293" spans="1:7" ht="17.25" thickBot="1" x14ac:dyDescent="0.3">
      <c r="A293" s="112"/>
      <c r="B293" s="112" t="s">
        <v>588</v>
      </c>
      <c r="C293" s="112"/>
      <c r="D293" s="201"/>
      <c r="E293" s="201">
        <f>SUM(E288:E292)</f>
        <v>61668</v>
      </c>
      <c r="G293" s="201"/>
    </row>
    <row r="295" spans="1:7" ht="15.75" thickBot="1" x14ac:dyDescent="0.3"/>
    <row r="296" spans="1:7" ht="17.25" thickBot="1" x14ac:dyDescent="0.3">
      <c r="E296" s="201">
        <f>E293+E284+E276+E271+E265+E257+E242+E237+E223+E191+E153+E109++E49</f>
        <v>25231706.994615383</v>
      </c>
      <c r="F296" s="256"/>
    </row>
    <row r="303" spans="1:7" ht="15.75" thickBot="1" x14ac:dyDescent="0.3"/>
    <row r="304" spans="1:7" ht="50.25" customHeight="1" thickBot="1" x14ac:dyDescent="0.3">
      <c r="A304" s="575" t="s">
        <v>725</v>
      </c>
      <c r="B304" s="555" t="s">
        <v>726</v>
      </c>
      <c r="C304" s="555"/>
      <c r="D304" s="580" t="s">
        <v>230</v>
      </c>
      <c r="E304" s="581"/>
    </row>
    <row r="305" spans="1:10" ht="33.75" customHeight="1" thickBot="1" x14ac:dyDescent="0.3">
      <c r="A305" s="576"/>
      <c r="B305" s="556" t="s">
        <v>734</v>
      </c>
      <c r="C305" s="557"/>
      <c r="D305" s="582">
        <f>E49</f>
        <v>8040336</v>
      </c>
      <c r="E305" s="583"/>
    </row>
    <row r="306" spans="1:10" ht="17.25" thickBot="1" x14ac:dyDescent="0.3">
      <c r="A306" s="576"/>
      <c r="B306" s="556" t="s">
        <v>727</v>
      </c>
      <c r="C306" s="557"/>
      <c r="D306" s="582">
        <f>E154</f>
        <v>8642013.8261538483</v>
      </c>
      <c r="E306" s="583"/>
    </row>
    <row r="307" spans="1:10" ht="17.25" thickBot="1" x14ac:dyDescent="0.3">
      <c r="A307" s="576"/>
      <c r="B307" s="556" t="s">
        <v>728</v>
      </c>
      <c r="C307" s="557"/>
      <c r="D307" s="582">
        <f>E191</f>
        <v>1362775.5384615385</v>
      </c>
      <c r="E307" s="583"/>
    </row>
    <row r="308" spans="1:10" ht="17.25" thickBot="1" x14ac:dyDescent="0.3">
      <c r="A308" s="576"/>
      <c r="B308" s="556" t="s">
        <v>729</v>
      </c>
      <c r="C308" s="557"/>
      <c r="D308" s="582">
        <f>E223</f>
        <v>4866311.4399999995</v>
      </c>
      <c r="E308" s="583"/>
    </row>
    <row r="309" spans="1:10" ht="17.25" thickBot="1" x14ac:dyDescent="0.3">
      <c r="A309" s="576"/>
      <c r="B309" s="568" t="s">
        <v>730</v>
      </c>
      <c r="C309" s="569"/>
      <c r="D309" s="573">
        <f>E237</f>
        <v>816944</v>
      </c>
      <c r="E309" s="574"/>
    </row>
    <row r="310" spans="1:10" ht="17.25" thickBot="1" x14ac:dyDescent="0.3">
      <c r="A310" s="576"/>
      <c r="B310" s="568" t="s">
        <v>731</v>
      </c>
      <c r="C310" s="569"/>
      <c r="D310" s="573">
        <f>E242</f>
        <v>30000</v>
      </c>
      <c r="E310" s="574"/>
    </row>
    <row r="311" spans="1:10" ht="17.25" thickBot="1" x14ac:dyDescent="0.3">
      <c r="A311" s="576"/>
      <c r="B311" s="568" t="s">
        <v>732</v>
      </c>
      <c r="C311" s="569"/>
      <c r="D311" s="573">
        <f>E257</f>
        <v>154974.51</v>
      </c>
      <c r="E311" s="574"/>
    </row>
    <row r="312" spans="1:10" ht="17.25" thickBot="1" x14ac:dyDescent="0.3">
      <c r="A312" s="576"/>
      <c r="B312" s="568" t="s">
        <v>735</v>
      </c>
      <c r="C312" s="569"/>
      <c r="D312" s="573">
        <f>E265</f>
        <v>263522</v>
      </c>
      <c r="E312" s="574"/>
    </row>
    <row r="313" spans="1:10" ht="17.25" thickBot="1" x14ac:dyDescent="0.3">
      <c r="A313" s="576"/>
      <c r="B313" s="568" t="s">
        <v>736</v>
      </c>
      <c r="C313" s="569"/>
      <c r="D313" s="573">
        <f>E271</f>
        <v>172012</v>
      </c>
      <c r="E313" s="574"/>
    </row>
    <row r="314" spans="1:10" ht="17.25" thickBot="1" x14ac:dyDescent="0.3">
      <c r="A314" s="576"/>
      <c r="B314" s="568" t="s">
        <v>737</v>
      </c>
      <c r="C314" s="569"/>
      <c r="D314" s="573">
        <f>E276</f>
        <v>90850</v>
      </c>
      <c r="E314" s="574"/>
    </row>
    <row r="315" spans="1:10" ht="17.25" thickBot="1" x14ac:dyDescent="0.3">
      <c r="A315" s="576"/>
      <c r="B315" s="568" t="s">
        <v>733</v>
      </c>
      <c r="C315" s="569"/>
      <c r="D315" s="573">
        <f>E284</f>
        <v>730299.67999999993</v>
      </c>
      <c r="E315" s="574"/>
    </row>
    <row r="316" spans="1:10" ht="17.25" thickBot="1" x14ac:dyDescent="0.3">
      <c r="A316" s="576"/>
      <c r="B316" s="568" t="s">
        <v>738</v>
      </c>
      <c r="C316" s="569"/>
      <c r="D316" s="573">
        <f>E293</f>
        <v>61668</v>
      </c>
      <c r="E316" s="574"/>
    </row>
    <row r="317" spans="1:10" ht="19.5" thickBot="1" x14ac:dyDescent="0.3">
      <c r="A317" s="577"/>
      <c r="B317" s="578" t="s">
        <v>96</v>
      </c>
      <c r="C317" s="579"/>
      <c r="D317" s="573">
        <f>SUM(D305:E316)</f>
        <v>25231706.994615387</v>
      </c>
      <c r="E317" s="574"/>
    </row>
    <row r="319" spans="1:10" ht="15.75" thickBot="1" x14ac:dyDescent="0.3"/>
    <row r="320" spans="1:10" ht="17.25" thickBot="1" x14ac:dyDescent="0.3">
      <c r="B320" s="568"/>
      <c r="C320" s="569"/>
      <c r="H320" s="570" t="s">
        <v>741</v>
      </c>
      <c r="I320" s="571"/>
      <c r="J320" s="260">
        <f>D317</f>
        <v>25231706.994615387</v>
      </c>
    </row>
    <row r="321" spans="7:11" ht="15.75" thickBot="1" x14ac:dyDescent="0.3"/>
    <row r="322" spans="7:11" ht="15.75" thickBot="1" x14ac:dyDescent="0.3">
      <c r="H322" s="570" t="s">
        <v>742</v>
      </c>
      <c r="I322" s="571"/>
      <c r="J322" s="260">
        <f>G327+H327+I327+J327</f>
        <v>11850000</v>
      </c>
    </row>
    <row r="324" spans="7:11" ht="15.75" thickBot="1" x14ac:dyDescent="0.3"/>
    <row r="325" spans="7:11" ht="15.75" thickBot="1" x14ac:dyDescent="0.3">
      <c r="G325" s="570" t="s">
        <v>225</v>
      </c>
      <c r="H325" s="571"/>
      <c r="I325" s="572"/>
      <c r="J325" s="258" t="s">
        <v>226</v>
      </c>
      <c r="K325" s="259" t="s">
        <v>740</v>
      </c>
    </row>
    <row r="326" spans="7:11" ht="15.75" thickBot="1" x14ac:dyDescent="0.3">
      <c r="G326" s="258">
        <v>2021</v>
      </c>
      <c r="H326" s="258">
        <v>2022</v>
      </c>
      <c r="I326" s="258">
        <v>2023</v>
      </c>
      <c r="J326" s="258">
        <v>2025</v>
      </c>
      <c r="K326" s="258" t="s">
        <v>739</v>
      </c>
    </row>
    <row r="327" spans="7:11" ht="17.25" thickBot="1" x14ac:dyDescent="0.3">
      <c r="G327" s="201">
        <v>2550000</v>
      </c>
      <c r="H327" s="201">
        <v>2500000</v>
      </c>
      <c r="I327" s="201">
        <v>2500000</v>
      </c>
      <c r="J327" s="201">
        <v>4300000</v>
      </c>
      <c r="K327" s="201">
        <f>25230906.99-SUM(G327:J327)</f>
        <v>13380906.989999998</v>
      </c>
    </row>
    <row r="329" spans="7:11" ht="15.75" thickBot="1" x14ac:dyDescent="0.3"/>
    <row r="330" spans="7:11" ht="30" customHeight="1" thickBot="1" x14ac:dyDescent="0.3">
      <c r="G330" s="541" t="s">
        <v>745</v>
      </c>
      <c r="H330" s="542"/>
      <c r="I330" s="543"/>
      <c r="J330" s="270">
        <f>J322</f>
        <v>11850000</v>
      </c>
    </row>
  </sheetData>
  <mergeCells count="47">
    <mergeCell ref="E126:E128"/>
    <mergeCell ref="G126:G128"/>
    <mergeCell ref="A280:A283"/>
    <mergeCell ref="A3:A48"/>
    <mergeCell ref="A54:A108"/>
    <mergeCell ref="A111:A152"/>
    <mergeCell ref="D126:D128"/>
    <mergeCell ref="A159:A190"/>
    <mergeCell ref="A196:A222"/>
    <mergeCell ref="A227:A236"/>
    <mergeCell ref="A246:A256"/>
    <mergeCell ref="A262:A264"/>
    <mergeCell ref="A288:A292"/>
    <mergeCell ref="A304:A317"/>
    <mergeCell ref="B304:C304"/>
    <mergeCell ref="D304:E304"/>
    <mergeCell ref="B305:C305"/>
    <mergeCell ref="D305:E305"/>
    <mergeCell ref="B306:C306"/>
    <mergeCell ref="D306:E306"/>
    <mergeCell ref="B307:C307"/>
    <mergeCell ref="D307:E307"/>
    <mergeCell ref="B308:C308"/>
    <mergeCell ref="D308:E308"/>
    <mergeCell ref="B309:C309"/>
    <mergeCell ref="D309:E309"/>
    <mergeCell ref="B310:C310"/>
    <mergeCell ref="D310:E310"/>
    <mergeCell ref="B311:C311"/>
    <mergeCell ref="D311:E311"/>
    <mergeCell ref="B312:C312"/>
    <mergeCell ref="D312:E312"/>
    <mergeCell ref="B313:C313"/>
    <mergeCell ref="D313:E313"/>
    <mergeCell ref="B314:C314"/>
    <mergeCell ref="D314:E314"/>
    <mergeCell ref="B315:C315"/>
    <mergeCell ref="D315:E315"/>
    <mergeCell ref="B316:C316"/>
    <mergeCell ref="D316:E316"/>
    <mergeCell ref="G330:I330"/>
    <mergeCell ref="B317:C317"/>
    <mergeCell ref="D317:E317"/>
    <mergeCell ref="B320:C320"/>
    <mergeCell ref="H320:I320"/>
    <mergeCell ref="H322:I322"/>
    <mergeCell ref="G325:I325"/>
  </mergeCells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9"/>
  <sheetViews>
    <sheetView topLeftCell="A34" zoomScale="85" zoomScaleNormal="85" zoomScaleSheetLayoutView="160" workbookViewId="0">
      <selection activeCell="S16" sqref="S16"/>
    </sheetView>
  </sheetViews>
  <sheetFormatPr baseColWidth="10" defaultRowHeight="15" x14ac:dyDescent="0.25"/>
  <cols>
    <col min="1" max="1" width="15.7109375" customWidth="1"/>
    <col min="2" max="2" width="8.28515625" customWidth="1"/>
    <col min="3" max="3" width="5.28515625" customWidth="1"/>
    <col min="4" max="4" width="25.42578125" customWidth="1"/>
    <col min="5" max="5" width="7.7109375" style="138" customWidth="1"/>
    <col min="6" max="6" width="51.5703125" style="138" customWidth="1"/>
    <col min="7" max="7" width="18.7109375" hidden="1" customWidth="1"/>
    <col min="8" max="8" width="16.7109375" hidden="1" customWidth="1"/>
    <col min="9" max="9" width="18.28515625" style="111" hidden="1" customWidth="1"/>
    <col min="10" max="10" width="9.28515625" hidden="1" customWidth="1"/>
    <col min="11" max="11" width="18.28515625" hidden="1" customWidth="1"/>
    <col min="12" max="12" width="11.42578125" hidden="1" customWidth="1"/>
    <col min="13" max="13" width="31.42578125" hidden="1" customWidth="1"/>
    <col min="14" max="14" width="24.5703125" customWidth="1"/>
    <col min="15" max="15" width="20.28515625" bestFit="1" customWidth="1"/>
    <col min="16" max="16" width="17.28515625" customWidth="1"/>
    <col min="17" max="17" width="15.7109375" customWidth="1"/>
    <col min="18" max="18" width="0.28515625" style="391" customWidth="1"/>
    <col min="19" max="19" width="40.28515625" style="406" bestFit="1" customWidth="1"/>
    <col min="20" max="20" width="25.28515625" customWidth="1"/>
    <col min="21" max="21" width="22.28515625" bestFit="1" customWidth="1"/>
    <col min="22" max="22" width="15.7109375" customWidth="1"/>
    <col min="23" max="24" width="15.7109375" bestFit="1" customWidth="1"/>
    <col min="25" max="25" width="13.7109375" bestFit="1" customWidth="1"/>
    <col min="33" max="34" width="16.42578125" bestFit="1" customWidth="1"/>
  </cols>
  <sheetData>
    <row r="1" spans="1:34" ht="25.5" customHeight="1" thickBot="1" x14ac:dyDescent="0.3">
      <c r="A1" s="316"/>
      <c r="B1" s="316"/>
      <c r="C1" s="316"/>
      <c r="D1" s="316"/>
      <c r="E1" s="412"/>
      <c r="F1" s="617" t="s">
        <v>755</v>
      </c>
      <c r="G1" s="618"/>
      <c r="H1" s="618"/>
      <c r="I1" s="618"/>
      <c r="J1" s="618"/>
      <c r="K1" s="618"/>
      <c r="L1" s="618"/>
      <c r="M1" s="618"/>
      <c r="N1" s="618"/>
      <c r="O1" s="619"/>
      <c r="P1" s="381"/>
      <c r="Q1" s="381"/>
      <c r="R1" s="393"/>
    </row>
    <row r="2" spans="1:34" ht="165.75" thickBot="1" x14ac:dyDescent="0.3">
      <c r="A2" s="314" t="s">
        <v>228</v>
      </c>
      <c r="B2" s="314"/>
      <c r="C2" s="112"/>
      <c r="D2" s="314"/>
      <c r="E2" s="402"/>
      <c r="F2" s="402" t="s">
        <v>85</v>
      </c>
      <c r="G2" s="314" t="s">
        <v>229</v>
      </c>
      <c r="H2" s="314" t="s">
        <v>123</v>
      </c>
      <c r="I2" s="113" t="s">
        <v>230</v>
      </c>
      <c r="J2" s="314">
        <v>2021</v>
      </c>
      <c r="K2" s="314" t="s">
        <v>79</v>
      </c>
      <c r="L2" s="314">
        <v>2022</v>
      </c>
      <c r="M2" s="314" t="s">
        <v>79</v>
      </c>
      <c r="N2" s="314" t="s">
        <v>754</v>
      </c>
      <c r="O2" s="314" t="s">
        <v>79</v>
      </c>
      <c r="P2" s="383" t="s">
        <v>821</v>
      </c>
      <c r="Q2" s="383" t="s">
        <v>822</v>
      </c>
      <c r="R2" s="383" t="s">
        <v>825</v>
      </c>
      <c r="S2" s="407" t="s">
        <v>818</v>
      </c>
      <c r="T2" s="380" t="s">
        <v>819</v>
      </c>
      <c r="U2" s="380" t="s">
        <v>820</v>
      </c>
      <c r="V2" s="372" t="s">
        <v>805</v>
      </c>
      <c r="W2" s="372" t="s">
        <v>806</v>
      </c>
      <c r="X2" s="372" t="s">
        <v>807</v>
      </c>
      <c r="Y2" s="372" t="s">
        <v>808</v>
      </c>
      <c r="Z2" s="372" t="s">
        <v>809</v>
      </c>
      <c r="AA2" s="372" t="s">
        <v>810</v>
      </c>
      <c r="AB2" s="372" t="s">
        <v>811</v>
      </c>
      <c r="AC2" s="372" t="s">
        <v>812</v>
      </c>
      <c r="AD2" s="372" t="s">
        <v>813</v>
      </c>
      <c r="AE2" s="372" t="s">
        <v>814</v>
      </c>
      <c r="AF2" s="372" t="s">
        <v>815</v>
      </c>
      <c r="AG2" s="372" t="s">
        <v>816</v>
      </c>
      <c r="AH2" s="372">
        <v>2023</v>
      </c>
    </row>
    <row r="3" spans="1:34" ht="30.75" customHeight="1" thickBot="1" x14ac:dyDescent="0.3">
      <c r="A3" s="550" t="s">
        <v>224</v>
      </c>
      <c r="B3" s="551" t="s">
        <v>231</v>
      </c>
      <c r="C3" s="550" t="s">
        <v>232</v>
      </c>
      <c r="D3" s="550" t="s">
        <v>233</v>
      </c>
      <c r="E3" s="31" t="s">
        <v>234</v>
      </c>
      <c r="F3" s="409" t="s">
        <v>235</v>
      </c>
      <c r="G3" s="47">
        <v>2</v>
      </c>
      <c r="H3" s="72">
        <f>'TABLA GENERAL'!D3</f>
        <v>35321</v>
      </c>
      <c r="I3" s="114">
        <v>70642</v>
      </c>
      <c r="J3" s="47">
        <v>0</v>
      </c>
      <c r="K3" s="60">
        <f>J3*H3</f>
        <v>0</v>
      </c>
      <c r="L3" s="47">
        <v>1</v>
      </c>
      <c r="M3" s="60">
        <f>L3*H3</f>
        <v>35321</v>
      </c>
      <c r="N3" s="47">
        <f>+L3+J3</f>
        <v>1</v>
      </c>
      <c r="O3" s="396">
        <v>32122.3584968</v>
      </c>
      <c r="P3" s="382"/>
      <c r="Q3" s="382"/>
      <c r="R3" s="382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>
        <f>O37</f>
        <v>3018730.8566771201</v>
      </c>
      <c r="AH3" s="27">
        <f>O60</f>
        <v>201204.49999999997</v>
      </c>
    </row>
    <row r="4" spans="1:34" ht="15.75" thickBot="1" x14ac:dyDescent="0.3">
      <c r="A4" s="551"/>
      <c r="B4" s="551"/>
      <c r="C4" s="551"/>
      <c r="D4" s="551"/>
      <c r="E4" s="31" t="s">
        <v>236</v>
      </c>
      <c r="F4" s="257" t="s">
        <v>237</v>
      </c>
      <c r="G4" s="15">
        <v>2</v>
      </c>
      <c r="H4" s="59">
        <f>'TABLA GENERAL'!D4</f>
        <v>17579</v>
      </c>
      <c r="I4" s="115">
        <v>35158</v>
      </c>
      <c r="J4" s="15">
        <v>0</v>
      </c>
      <c r="K4" s="60">
        <f t="shared" ref="K4:K36" si="0">J4*H4</f>
        <v>0</v>
      </c>
      <c r="L4" s="15">
        <v>1</v>
      </c>
      <c r="M4" s="60">
        <f t="shared" ref="M4:M36" si="1">L4*H4</f>
        <v>17579</v>
      </c>
      <c r="N4" s="47">
        <f t="shared" ref="N4:N44" si="2">+L4+J4</f>
        <v>1</v>
      </c>
      <c r="O4" s="396">
        <v>15987.059823200001</v>
      </c>
      <c r="P4" s="382"/>
      <c r="Q4" s="382"/>
      <c r="R4" s="382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>
        <f>O49</f>
        <v>612342.88845968002</v>
      </c>
      <c r="AH4" s="27">
        <f>O70</f>
        <v>276725.33875</v>
      </c>
    </row>
    <row r="5" spans="1:34" ht="15.75" thickBot="1" x14ac:dyDescent="0.3">
      <c r="A5" s="551"/>
      <c r="B5" s="551"/>
      <c r="C5" s="551"/>
      <c r="D5" s="551"/>
      <c r="E5" s="31" t="s">
        <v>238</v>
      </c>
      <c r="F5" s="257" t="s">
        <v>239</v>
      </c>
      <c r="G5" s="15">
        <v>2</v>
      </c>
      <c r="H5" s="59">
        <f>'TABLA GENERAL'!D5</f>
        <v>24779</v>
      </c>
      <c r="I5" s="115">
        <v>49558</v>
      </c>
      <c r="J5" s="15">
        <v>0</v>
      </c>
      <c r="K5" s="60">
        <f t="shared" si="0"/>
        <v>0</v>
      </c>
      <c r="L5" s="15">
        <v>1</v>
      </c>
      <c r="M5" s="60">
        <f t="shared" si="1"/>
        <v>24779</v>
      </c>
      <c r="N5" s="47">
        <f t="shared" si="2"/>
        <v>1</v>
      </c>
      <c r="O5" s="396">
        <v>22535.033583199998</v>
      </c>
      <c r="P5" s="382"/>
      <c r="Q5" s="382"/>
      <c r="R5" s="382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>
        <f>O99</f>
        <v>140435.66849538646</v>
      </c>
      <c r="AH5" s="27">
        <f>O84</f>
        <v>661951.16464493354</v>
      </c>
    </row>
    <row r="6" spans="1:34" ht="15.75" thickBot="1" x14ac:dyDescent="0.3">
      <c r="A6" s="551"/>
      <c r="B6" s="551"/>
      <c r="C6" s="551"/>
      <c r="D6" s="551"/>
      <c r="E6" s="31" t="s">
        <v>240</v>
      </c>
      <c r="F6" s="257" t="s">
        <v>241</v>
      </c>
      <c r="G6" s="15">
        <v>2</v>
      </c>
      <c r="H6" s="59">
        <f>'TABLA GENERAL'!D6</f>
        <v>22458</v>
      </c>
      <c r="I6" s="115">
        <v>44916</v>
      </c>
      <c r="J6" s="15">
        <v>0</v>
      </c>
      <c r="K6" s="60">
        <f t="shared" si="0"/>
        <v>0</v>
      </c>
      <c r="L6" s="15">
        <v>1</v>
      </c>
      <c r="M6" s="60">
        <f t="shared" si="1"/>
        <v>22458</v>
      </c>
      <c r="N6" s="47">
        <f t="shared" si="2"/>
        <v>1</v>
      </c>
      <c r="O6" s="396">
        <v>20424.221486400002</v>
      </c>
      <c r="P6" s="382"/>
      <c r="Q6" s="382"/>
      <c r="R6" s="382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>
        <f>O105</f>
        <v>87791.374999999985</v>
      </c>
    </row>
    <row r="7" spans="1:34" ht="30.75" thickBot="1" x14ac:dyDescent="0.3">
      <c r="A7" s="551"/>
      <c r="B7" s="551"/>
      <c r="C7" s="551"/>
      <c r="D7" s="551"/>
      <c r="E7" s="31" t="s">
        <v>242</v>
      </c>
      <c r="F7" s="257" t="s">
        <v>243</v>
      </c>
      <c r="G7" s="15">
        <v>2</v>
      </c>
      <c r="H7" s="59">
        <f>'TABLA GENERAL'!D7</f>
        <v>63048</v>
      </c>
      <c r="I7" s="115">
        <v>126096</v>
      </c>
      <c r="J7" s="15">
        <v>0</v>
      </c>
      <c r="K7" s="60">
        <f t="shared" si="0"/>
        <v>0</v>
      </c>
      <c r="L7" s="15">
        <v>1</v>
      </c>
      <c r="M7" s="60">
        <f t="shared" si="1"/>
        <v>63048</v>
      </c>
      <c r="N7" s="47">
        <f t="shared" si="2"/>
        <v>1</v>
      </c>
      <c r="O7" s="396">
        <v>57338.423558400005</v>
      </c>
      <c r="P7" s="382"/>
      <c r="Q7" s="382"/>
      <c r="R7" s="382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>
        <f>O112</f>
        <v>50818.249999999993</v>
      </c>
    </row>
    <row r="8" spans="1:34" ht="30.75" thickBot="1" x14ac:dyDescent="0.3">
      <c r="A8" s="551"/>
      <c r="B8" s="551"/>
      <c r="C8" s="551"/>
      <c r="D8" s="551"/>
      <c r="E8" s="31" t="s">
        <v>244</v>
      </c>
      <c r="F8" s="257" t="s">
        <v>245</v>
      </c>
      <c r="G8" s="15">
        <v>2</v>
      </c>
      <c r="H8" s="59">
        <f>'TABLA GENERAL'!D8</f>
        <v>81814</v>
      </c>
      <c r="I8" s="115">
        <v>163628</v>
      </c>
      <c r="J8" s="15">
        <v>0</v>
      </c>
      <c r="K8" s="60">
        <f t="shared" si="0"/>
        <v>0</v>
      </c>
      <c r="L8" s="15">
        <v>1</v>
      </c>
      <c r="M8" s="60">
        <f t="shared" si="1"/>
        <v>81814</v>
      </c>
      <c r="N8" s="47">
        <f t="shared" si="2"/>
        <v>1</v>
      </c>
      <c r="O8" s="396">
        <v>74404.989611200013</v>
      </c>
      <c r="P8" s="382"/>
      <c r="Q8" s="382"/>
      <c r="R8" s="382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</row>
    <row r="9" spans="1:34" ht="15.75" thickBot="1" x14ac:dyDescent="0.3">
      <c r="A9" s="551"/>
      <c r="B9" s="551"/>
      <c r="C9" s="551"/>
      <c r="D9" s="551"/>
      <c r="E9" s="31" t="s">
        <v>246</v>
      </c>
      <c r="F9" s="257" t="s">
        <v>247</v>
      </c>
      <c r="G9" s="15">
        <v>16</v>
      </c>
      <c r="H9" s="59">
        <f>'TABLA GENERAL'!D9</f>
        <v>141</v>
      </c>
      <c r="I9" s="115">
        <v>2256</v>
      </c>
      <c r="J9" s="15">
        <v>10</v>
      </c>
      <c r="K9" s="60">
        <f t="shared" si="0"/>
        <v>1410</v>
      </c>
      <c r="L9" s="15">
        <v>0</v>
      </c>
      <c r="M9" s="60">
        <f t="shared" si="1"/>
        <v>0</v>
      </c>
      <c r="N9" s="47">
        <f t="shared" si="2"/>
        <v>10</v>
      </c>
      <c r="O9" s="396">
        <v>1282.3115280000002</v>
      </c>
      <c r="P9" s="382"/>
      <c r="Q9" s="382"/>
      <c r="R9" s="382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>
        <f>+SUM(AG3:AG7)</f>
        <v>3771509.4136321866</v>
      </c>
      <c r="AH9" s="27">
        <f>+SUM(AH3:AH7)</f>
        <v>1278490.6283949334</v>
      </c>
    </row>
    <row r="10" spans="1:34" ht="15.75" thickBot="1" x14ac:dyDescent="0.3">
      <c r="A10" s="551"/>
      <c r="B10" s="551"/>
      <c r="C10" s="551"/>
      <c r="D10" s="551"/>
      <c r="E10" s="31" t="s">
        <v>248</v>
      </c>
      <c r="F10" s="257" t="s">
        <v>249</v>
      </c>
      <c r="G10" s="15">
        <v>16</v>
      </c>
      <c r="H10" s="59">
        <f>'TABLA GENERAL'!D10</f>
        <v>6243</v>
      </c>
      <c r="I10" s="115">
        <v>99888</v>
      </c>
      <c r="J10" s="15">
        <v>10</v>
      </c>
      <c r="K10" s="60">
        <f t="shared" si="0"/>
        <v>62430</v>
      </c>
      <c r="L10" s="15">
        <v>2</v>
      </c>
      <c r="M10" s="60">
        <f t="shared" si="1"/>
        <v>12486</v>
      </c>
      <c r="N10" s="47">
        <f t="shared" si="2"/>
        <v>12</v>
      </c>
      <c r="O10" s="396">
        <v>68131.666972799998</v>
      </c>
      <c r="P10" s="382"/>
      <c r="Q10" s="382"/>
      <c r="R10" s="382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374" t="e">
        <f>+(AG9/S114)*N115</f>
        <v>#DIV/0!</v>
      </c>
      <c r="AH10" s="374" t="e">
        <f>+(AH9/S114)*N115</f>
        <v>#DIV/0!</v>
      </c>
    </row>
    <row r="11" spans="1:34" ht="15.75" thickBot="1" x14ac:dyDescent="0.3">
      <c r="A11" s="551"/>
      <c r="B11" s="551"/>
      <c r="C11" s="551"/>
      <c r="D11" s="551"/>
      <c r="E11" s="31" t="s">
        <v>250</v>
      </c>
      <c r="F11" s="257" t="s">
        <v>251</v>
      </c>
      <c r="G11" s="15">
        <v>10</v>
      </c>
      <c r="H11" s="59">
        <f>'TABLA GENERAL'!D11</f>
        <v>6877</v>
      </c>
      <c r="I11" s="115">
        <v>68770</v>
      </c>
      <c r="J11" s="15">
        <v>10</v>
      </c>
      <c r="K11" s="60">
        <f t="shared" si="0"/>
        <v>68770</v>
      </c>
      <c r="L11" s="15">
        <v>0</v>
      </c>
      <c r="M11" s="60">
        <f t="shared" si="1"/>
        <v>0</v>
      </c>
      <c r="N11" s="47">
        <f t="shared" si="2"/>
        <v>10</v>
      </c>
      <c r="O11" s="396">
        <v>62542.243816000009</v>
      </c>
      <c r="P11" s="382"/>
      <c r="Q11" s="382"/>
      <c r="R11" s="382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</row>
    <row r="12" spans="1:34" ht="15.75" thickBot="1" x14ac:dyDescent="0.3">
      <c r="A12" s="551"/>
      <c r="B12" s="551"/>
      <c r="C12" s="551"/>
      <c r="D12" s="551"/>
      <c r="E12" s="31" t="s">
        <v>252</v>
      </c>
      <c r="F12" s="257" t="s">
        <v>253</v>
      </c>
      <c r="G12" s="15">
        <v>2</v>
      </c>
      <c r="H12" s="59">
        <f>'TABLA GENERAL'!D16</f>
        <v>27035</v>
      </c>
      <c r="I12" s="115">
        <v>54070</v>
      </c>
      <c r="J12" s="15">
        <v>1</v>
      </c>
      <c r="K12" s="60">
        <f t="shared" si="0"/>
        <v>27035</v>
      </c>
      <c r="L12" s="15">
        <v>0</v>
      </c>
      <c r="M12" s="60">
        <f t="shared" si="1"/>
        <v>0</v>
      </c>
      <c r="N12" s="47">
        <f t="shared" si="2"/>
        <v>1</v>
      </c>
      <c r="O12" s="396">
        <v>24586.732028000002</v>
      </c>
      <c r="P12" s="382"/>
      <c r="Q12" s="382"/>
      <c r="R12" s="382"/>
    </row>
    <row r="13" spans="1:34" ht="15.75" thickBot="1" x14ac:dyDescent="0.3">
      <c r="A13" s="551"/>
      <c r="B13" s="551"/>
      <c r="C13" s="551"/>
      <c r="D13" s="552"/>
      <c r="E13" s="31" t="s">
        <v>254</v>
      </c>
      <c r="F13" s="257" t="s">
        <v>255</v>
      </c>
      <c r="G13" s="15">
        <v>4</v>
      </c>
      <c r="H13" s="59">
        <f>'TABLA GENERAL'!D17</f>
        <v>421</v>
      </c>
      <c r="I13" s="115">
        <v>1684</v>
      </c>
      <c r="J13" s="15">
        <v>1</v>
      </c>
      <c r="K13" s="60">
        <f t="shared" si="0"/>
        <v>421</v>
      </c>
      <c r="L13" s="15">
        <v>0</v>
      </c>
      <c r="M13" s="60">
        <f t="shared" si="1"/>
        <v>0</v>
      </c>
      <c r="N13" s="47">
        <f t="shared" si="2"/>
        <v>1</v>
      </c>
      <c r="O13" s="396">
        <v>382.87457680000006</v>
      </c>
      <c r="P13" s="382"/>
      <c r="Q13" s="382"/>
      <c r="R13" s="382"/>
    </row>
    <row r="14" spans="1:34" ht="15.75" customHeight="1" thickBot="1" x14ac:dyDescent="0.3">
      <c r="A14" s="551"/>
      <c r="B14" s="551"/>
      <c r="C14" s="551"/>
      <c r="D14" s="550" t="s">
        <v>256</v>
      </c>
      <c r="E14" s="31" t="s">
        <v>257</v>
      </c>
      <c r="F14" s="257" t="s">
        <v>258</v>
      </c>
      <c r="G14" s="15">
        <v>2</v>
      </c>
      <c r="H14" s="59">
        <f>'TABLA GENERAL'!D19</f>
        <v>27984</v>
      </c>
      <c r="I14" s="115">
        <v>55968</v>
      </c>
      <c r="J14" s="15">
        <v>0</v>
      </c>
      <c r="K14" s="60">
        <f t="shared" si="0"/>
        <v>0</v>
      </c>
      <c r="L14" s="15">
        <v>1</v>
      </c>
      <c r="M14" s="60">
        <f t="shared" si="1"/>
        <v>27984</v>
      </c>
      <c r="N14" s="47">
        <f t="shared" si="2"/>
        <v>1</v>
      </c>
      <c r="O14" s="396">
        <v>25449.791347200004</v>
      </c>
      <c r="P14" s="382"/>
      <c r="Q14" s="382"/>
      <c r="R14" s="382"/>
      <c r="AG14" s="377">
        <v>44896</v>
      </c>
      <c r="AH14" s="373">
        <v>2023</v>
      </c>
    </row>
    <row r="15" spans="1:34" ht="15.75" thickBot="1" x14ac:dyDescent="0.3">
      <c r="A15" s="551"/>
      <c r="B15" s="551"/>
      <c r="C15" s="551"/>
      <c r="D15" s="551"/>
      <c r="E15" s="31" t="s">
        <v>259</v>
      </c>
      <c r="F15" s="257" t="s">
        <v>260</v>
      </c>
      <c r="G15" s="15">
        <v>14</v>
      </c>
      <c r="H15" s="59">
        <f>'TABLA GENERAL'!D20</f>
        <v>1655</v>
      </c>
      <c r="I15" s="115">
        <v>23170</v>
      </c>
      <c r="J15" s="15">
        <v>14</v>
      </c>
      <c r="K15" s="60">
        <f t="shared" si="0"/>
        <v>23170</v>
      </c>
      <c r="L15" s="15">
        <v>0</v>
      </c>
      <c r="M15" s="60">
        <f t="shared" si="1"/>
        <v>0</v>
      </c>
      <c r="N15" s="47">
        <f t="shared" si="2"/>
        <v>14</v>
      </c>
      <c r="O15" s="396">
        <v>21071.743336000003</v>
      </c>
      <c r="P15" s="382"/>
      <c r="Q15" s="382"/>
      <c r="R15" s="382"/>
      <c r="AG15" s="376" t="e">
        <f>+AG10</f>
        <v>#DIV/0!</v>
      </c>
      <c r="AH15" s="375" t="e">
        <f>+AH10</f>
        <v>#DIV/0!</v>
      </c>
    </row>
    <row r="16" spans="1:34" ht="15.75" thickBot="1" x14ac:dyDescent="0.3">
      <c r="A16" s="551"/>
      <c r="B16" s="551"/>
      <c r="C16" s="551"/>
      <c r="D16" s="551"/>
      <c r="E16" s="31" t="s">
        <v>261</v>
      </c>
      <c r="F16" s="257" t="s">
        <v>262</v>
      </c>
      <c r="G16" s="15">
        <v>2</v>
      </c>
      <c r="H16" s="59">
        <f>'TABLA GENERAL'!D21</f>
        <v>11477</v>
      </c>
      <c r="I16" s="115">
        <v>22954</v>
      </c>
      <c r="J16" s="15">
        <v>1</v>
      </c>
      <c r="K16" s="60">
        <f t="shared" si="0"/>
        <v>11477</v>
      </c>
      <c r="L16" s="15">
        <v>0</v>
      </c>
      <c r="M16" s="60">
        <f t="shared" si="1"/>
        <v>0</v>
      </c>
      <c r="N16" s="47">
        <f t="shared" si="2"/>
        <v>1</v>
      </c>
      <c r="O16" s="396">
        <v>10437.652061600002</v>
      </c>
      <c r="P16" s="382"/>
      <c r="Q16" s="382"/>
      <c r="R16" s="382"/>
      <c r="AG16" s="339" t="e">
        <f>+AG15/AH18</f>
        <v>#DIV/0!</v>
      </c>
      <c r="AH16" s="339" t="e">
        <f>+AH15/AH18</f>
        <v>#DIV/0!</v>
      </c>
    </row>
    <row r="17" spans="1:34" ht="15.75" thickBot="1" x14ac:dyDescent="0.3">
      <c r="A17" s="551"/>
      <c r="B17" s="551"/>
      <c r="C17" s="551"/>
      <c r="D17" s="551"/>
      <c r="E17" s="31" t="s">
        <v>263</v>
      </c>
      <c r="F17" s="257" t="s">
        <v>264</v>
      </c>
      <c r="G17" s="15">
        <v>1</v>
      </c>
      <c r="H17" s="59">
        <f>'TABLA GENERAL'!D22</f>
        <v>44356</v>
      </c>
      <c r="I17" s="115">
        <v>44356</v>
      </c>
      <c r="J17" s="15">
        <v>0</v>
      </c>
      <c r="K17" s="60">
        <f t="shared" si="0"/>
        <v>0</v>
      </c>
      <c r="L17" s="15">
        <v>1</v>
      </c>
      <c r="M17" s="60">
        <f t="shared" si="1"/>
        <v>44356</v>
      </c>
      <c r="N17" s="47">
        <f t="shared" si="2"/>
        <v>1</v>
      </c>
      <c r="O17" s="396">
        <v>40339.156124800007</v>
      </c>
      <c r="P17" s="382"/>
      <c r="Q17" s="382"/>
      <c r="R17" s="382"/>
    </row>
    <row r="18" spans="1:34" ht="15.75" thickBot="1" x14ac:dyDescent="0.3">
      <c r="A18" s="551"/>
      <c r="B18" s="551"/>
      <c r="C18" s="551"/>
      <c r="D18" s="551"/>
      <c r="E18" s="31" t="s">
        <v>265</v>
      </c>
      <c r="F18" s="257" t="s">
        <v>266</v>
      </c>
      <c r="G18" s="15">
        <v>36</v>
      </c>
      <c r="H18" s="59">
        <f>'TABLA GENERAL'!D23</f>
        <v>107</v>
      </c>
      <c r="I18" s="115">
        <v>3852</v>
      </c>
      <c r="J18" s="15">
        <v>10</v>
      </c>
      <c r="K18" s="60">
        <f t="shared" si="0"/>
        <v>1070</v>
      </c>
      <c r="L18" s="15">
        <v>2</v>
      </c>
      <c r="M18" s="60">
        <f t="shared" si="1"/>
        <v>214</v>
      </c>
      <c r="N18" s="47">
        <f t="shared" si="2"/>
        <v>12</v>
      </c>
      <c r="O18" s="396">
        <v>1167.7219872000001</v>
      </c>
      <c r="P18" s="382"/>
      <c r="Q18" s="382"/>
      <c r="R18" s="382"/>
      <c r="AG18" s="379" t="s">
        <v>817</v>
      </c>
      <c r="AH18" s="378" t="e">
        <f>+AH15+AG15</f>
        <v>#DIV/0!</v>
      </c>
    </row>
    <row r="19" spans="1:34" ht="15.75" thickBot="1" x14ac:dyDescent="0.3">
      <c r="A19" s="551"/>
      <c r="B19" s="551"/>
      <c r="C19" s="551"/>
      <c r="D19" s="551"/>
      <c r="E19" s="31" t="s">
        <v>267</v>
      </c>
      <c r="F19" s="257" t="s">
        <v>268</v>
      </c>
      <c r="G19" s="15">
        <v>13</v>
      </c>
      <c r="H19" s="59">
        <f>'TABLA GENERAL'!D24</f>
        <v>1484</v>
      </c>
      <c r="I19" s="115">
        <v>19292</v>
      </c>
      <c r="J19" s="15">
        <v>10</v>
      </c>
      <c r="K19" s="60">
        <f t="shared" si="0"/>
        <v>14840</v>
      </c>
      <c r="L19" s="15">
        <v>0</v>
      </c>
      <c r="M19" s="60">
        <f t="shared" si="1"/>
        <v>0</v>
      </c>
      <c r="N19" s="47">
        <f t="shared" si="2"/>
        <v>10</v>
      </c>
      <c r="O19" s="396">
        <v>13496.101472</v>
      </c>
      <c r="P19" s="382"/>
      <c r="Q19" s="382"/>
      <c r="R19" s="382"/>
    </row>
    <row r="20" spans="1:34" ht="15.75" thickBot="1" x14ac:dyDescent="0.3">
      <c r="A20" s="551"/>
      <c r="B20" s="551"/>
      <c r="C20" s="552"/>
      <c r="D20" s="552"/>
      <c r="E20" s="31" t="s">
        <v>267</v>
      </c>
      <c r="F20" s="257" t="s">
        <v>269</v>
      </c>
      <c r="G20" s="15">
        <v>2</v>
      </c>
      <c r="H20" s="59">
        <f>'TABLA GENERAL'!D25</f>
        <v>312143</v>
      </c>
      <c r="I20" s="115">
        <v>624286</v>
      </c>
      <c r="J20" s="15">
        <v>1</v>
      </c>
      <c r="K20" s="60">
        <f t="shared" si="0"/>
        <v>312143</v>
      </c>
      <c r="L20" s="15">
        <v>1</v>
      </c>
      <c r="M20" s="60">
        <f t="shared" si="1"/>
        <v>312143</v>
      </c>
      <c r="N20" s="47">
        <f t="shared" si="2"/>
        <v>2</v>
      </c>
      <c r="O20" s="396">
        <v>567751.15926879994</v>
      </c>
      <c r="P20" s="382"/>
      <c r="Q20" s="382"/>
      <c r="R20" s="382"/>
    </row>
    <row r="21" spans="1:34" ht="39" customHeight="1" thickBot="1" x14ac:dyDescent="0.3">
      <c r="A21" s="551"/>
      <c r="B21" s="551"/>
      <c r="C21" s="550" t="s">
        <v>270</v>
      </c>
      <c r="D21" s="652" t="s">
        <v>271</v>
      </c>
      <c r="E21" s="31" t="s">
        <v>272</v>
      </c>
      <c r="F21" s="257" t="s">
        <v>273</v>
      </c>
      <c r="G21" s="15">
        <v>1</v>
      </c>
      <c r="H21" s="59">
        <f>'TABLA GENERAL'!D27</f>
        <v>68138</v>
      </c>
      <c r="I21" s="115">
        <v>68138</v>
      </c>
      <c r="J21" s="15">
        <v>1</v>
      </c>
      <c r="K21" s="60">
        <f t="shared" si="0"/>
        <v>68138</v>
      </c>
      <c r="L21" s="15">
        <v>0</v>
      </c>
      <c r="M21" s="60">
        <f t="shared" si="1"/>
        <v>0</v>
      </c>
      <c r="N21" s="47">
        <f t="shared" si="2"/>
        <v>1</v>
      </c>
      <c r="O21" s="396">
        <v>61967.477230400007</v>
      </c>
      <c r="P21" s="382"/>
      <c r="Q21" s="382"/>
      <c r="R21" s="382"/>
    </row>
    <row r="22" spans="1:34" ht="15.75" customHeight="1" thickBot="1" x14ac:dyDescent="0.3">
      <c r="A22" s="551"/>
      <c r="B22" s="551"/>
      <c r="C22" s="551"/>
      <c r="D22" s="653"/>
      <c r="E22" s="31" t="s">
        <v>274</v>
      </c>
      <c r="F22" s="257" t="s">
        <v>275</v>
      </c>
      <c r="G22" s="15">
        <v>11</v>
      </c>
      <c r="H22" s="59">
        <f>'TABLA GENERAL'!D28</f>
        <v>47779</v>
      </c>
      <c r="I22" s="115">
        <v>525569</v>
      </c>
      <c r="J22" s="15">
        <v>2</v>
      </c>
      <c r="K22" s="60">
        <f t="shared" si="0"/>
        <v>95558</v>
      </c>
      <c r="L22" s="15">
        <v>7</v>
      </c>
      <c r="M22" s="60">
        <f t="shared" si="1"/>
        <v>334453</v>
      </c>
      <c r="N22" s="47">
        <f t="shared" si="2"/>
        <v>9</v>
      </c>
      <c r="O22" s="396">
        <v>391069.54784879996</v>
      </c>
      <c r="P22" s="382"/>
      <c r="Q22" s="382"/>
      <c r="R22" s="382"/>
    </row>
    <row r="23" spans="1:34" ht="15.75" customHeight="1" thickBot="1" x14ac:dyDescent="0.3">
      <c r="A23" s="551"/>
      <c r="B23" s="551"/>
      <c r="C23" s="551"/>
      <c r="D23" s="653"/>
      <c r="E23" s="31" t="s">
        <v>276</v>
      </c>
      <c r="F23" s="257" t="s">
        <v>277</v>
      </c>
      <c r="G23" s="15">
        <v>4</v>
      </c>
      <c r="H23" s="59">
        <f>'TABLA GENERAL'!D29</f>
        <v>40845</v>
      </c>
      <c r="I23" s="115">
        <v>163380</v>
      </c>
      <c r="J23" s="15">
        <v>0</v>
      </c>
      <c r="K23" s="60">
        <f t="shared" si="0"/>
        <v>0</v>
      </c>
      <c r="L23" s="15">
        <v>4</v>
      </c>
      <c r="M23" s="60">
        <f t="shared" si="1"/>
        <v>163380</v>
      </c>
      <c r="N23" s="47">
        <f t="shared" si="2"/>
        <v>4</v>
      </c>
      <c r="O23" s="396">
        <v>148584.43790400002</v>
      </c>
      <c r="P23" s="382"/>
      <c r="Q23" s="382"/>
      <c r="R23" s="382"/>
    </row>
    <row r="24" spans="1:34" ht="29.25" customHeight="1" thickBot="1" x14ac:dyDescent="0.3">
      <c r="A24" s="551"/>
      <c r="B24" s="551"/>
      <c r="C24" s="551"/>
      <c r="D24" s="654"/>
      <c r="E24" s="31" t="s">
        <v>278</v>
      </c>
      <c r="F24" s="257" t="s">
        <v>279</v>
      </c>
      <c r="G24" s="15">
        <v>152</v>
      </c>
      <c r="H24" s="59">
        <f>'TABLA GENERAL'!D30</f>
        <v>16636</v>
      </c>
      <c r="I24" s="115">
        <v>2528672</v>
      </c>
      <c r="J24" s="15">
        <v>13</v>
      </c>
      <c r="K24" s="60">
        <f t="shared" si="0"/>
        <v>216268</v>
      </c>
      <c r="L24" s="15">
        <v>0</v>
      </c>
      <c r="M24" s="60">
        <f t="shared" si="1"/>
        <v>0</v>
      </c>
      <c r="N24" s="47">
        <f t="shared" si="2"/>
        <v>13</v>
      </c>
      <c r="O24" s="396">
        <v>196682.94293440002</v>
      </c>
      <c r="P24" s="382"/>
      <c r="Q24" s="382"/>
      <c r="R24" s="382"/>
    </row>
    <row r="25" spans="1:34" ht="15.75" customHeight="1" thickBot="1" x14ac:dyDescent="0.3">
      <c r="A25" s="551"/>
      <c r="B25" s="551"/>
      <c r="C25" s="551"/>
      <c r="D25" s="655" t="s">
        <v>280</v>
      </c>
      <c r="E25" s="31" t="s">
        <v>281</v>
      </c>
      <c r="F25" s="257" t="s">
        <v>282</v>
      </c>
      <c r="G25" s="15">
        <v>10</v>
      </c>
      <c r="H25" s="59">
        <f>'TABLA GENERAL'!D32</f>
        <v>5231</v>
      </c>
      <c r="I25" s="115">
        <v>52310</v>
      </c>
      <c r="J25" s="15">
        <v>10</v>
      </c>
      <c r="K25" s="60">
        <f t="shared" si="0"/>
        <v>52310</v>
      </c>
      <c r="L25" s="15">
        <v>0</v>
      </c>
      <c r="M25" s="60">
        <f t="shared" si="1"/>
        <v>0</v>
      </c>
      <c r="N25" s="47">
        <f t="shared" si="2"/>
        <v>10</v>
      </c>
      <c r="O25" s="396">
        <v>47572.848248000002</v>
      </c>
      <c r="P25" s="382"/>
      <c r="Q25" s="382"/>
      <c r="R25" s="382"/>
    </row>
    <row r="26" spans="1:34" ht="15.75" customHeight="1" thickBot="1" x14ac:dyDescent="0.3">
      <c r="A26" s="551"/>
      <c r="B26" s="551"/>
      <c r="C26" s="551"/>
      <c r="D26" s="656"/>
      <c r="E26" s="31" t="s">
        <v>283</v>
      </c>
      <c r="F26" s="257" t="s">
        <v>284</v>
      </c>
      <c r="G26" s="15">
        <v>13</v>
      </c>
      <c r="H26" s="59">
        <f>'TABLA GENERAL'!D33</f>
        <v>3641</v>
      </c>
      <c r="I26" s="115">
        <v>47333</v>
      </c>
      <c r="J26" s="15">
        <v>3</v>
      </c>
      <c r="K26" s="60">
        <f t="shared" si="0"/>
        <v>10923</v>
      </c>
      <c r="L26" s="15">
        <v>0</v>
      </c>
      <c r="M26" s="60">
        <f t="shared" si="1"/>
        <v>0</v>
      </c>
      <c r="N26" s="47">
        <f t="shared" si="2"/>
        <v>3</v>
      </c>
      <c r="O26" s="396">
        <v>9933.8218584000006</v>
      </c>
      <c r="P26" s="382"/>
      <c r="Q26" s="382"/>
      <c r="R26" s="382"/>
    </row>
    <row r="27" spans="1:34" ht="15.75" customHeight="1" thickBot="1" x14ac:dyDescent="0.3">
      <c r="A27" s="551"/>
      <c r="B27" s="551"/>
      <c r="C27" s="551"/>
      <c r="D27" s="657" t="s">
        <v>285</v>
      </c>
      <c r="E27" s="31" t="s">
        <v>286</v>
      </c>
      <c r="F27" s="257" t="s">
        <v>287</v>
      </c>
      <c r="G27" s="15">
        <v>2</v>
      </c>
      <c r="H27" s="59">
        <v>123893</v>
      </c>
      <c r="I27" s="115">
        <v>247786</v>
      </c>
      <c r="J27" s="15">
        <v>1</v>
      </c>
      <c r="K27" s="60">
        <f t="shared" si="0"/>
        <v>123893</v>
      </c>
      <c r="L27" s="15">
        <v>0</v>
      </c>
      <c r="M27" s="60">
        <f t="shared" si="1"/>
        <v>0</v>
      </c>
      <c r="N27" s="47">
        <f t="shared" si="2"/>
        <v>1</v>
      </c>
      <c r="O27" s="396">
        <v>112673.3490344</v>
      </c>
      <c r="P27" s="382"/>
      <c r="Q27" s="382"/>
      <c r="R27" s="382"/>
    </row>
    <row r="28" spans="1:34" ht="15.75" thickBot="1" x14ac:dyDescent="0.3">
      <c r="A28" s="551"/>
      <c r="B28" s="551"/>
      <c r="C28" s="551"/>
      <c r="D28" s="658"/>
      <c r="E28" s="31" t="s">
        <v>288</v>
      </c>
      <c r="F28" s="257" t="s">
        <v>289</v>
      </c>
      <c r="G28" s="15">
        <v>10</v>
      </c>
      <c r="H28" s="59">
        <f>'TABLA GENERAL'!D36</f>
        <v>57181</v>
      </c>
      <c r="I28" s="115">
        <v>571810</v>
      </c>
      <c r="J28" s="15">
        <v>5</v>
      </c>
      <c r="K28" s="60">
        <f t="shared" si="0"/>
        <v>285905</v>
      </c>
      <c r="L28" s="15">
        <v>0</v>
      </c>
      <c r="M28" s="60">
        <f t="shared" si="1"/>
        <v>0</v>
      </c>
      <c r="N28" s="47">
        <f t="shared" si="2"/>
        <v>5</v>
      </c>
      <c r="O28" s="396">
        <v>260013.67192400002</v>
      </c>
      <c r="P28" s="382"/>
      <c r="Q28" s="382"/>
      <c r="R28" s="382"/>
    </row>
    <row r="29" spans="1:34" ht="15.75" customHeight="1" thickBot="1" x14ac:dyDescent="0.3">
      <c r="A29" s="551"/>
      <c r="B29" s="551"/>
      <c r="C29" s="551"/>
      <c r="D29" s="655" t="s">
        <v>290</v>
      </c>
      <c r="E29" s="31" t="s">
        <v>291</v>
      </c>
      <c r="F29" s="257" t="s">
        <v>292</v>
      </c>
      <c r="G29" s="15">
        <v>2</v>
      </c>
      <c r="H29" s="59">
        <f>'TABLA GENERAL'!D39</f>
        <v>29368</v>
      </c>
      <c r="I29" s="115">
        <v>58736</v>
      </c>
      <c r="J29" s="15">
        <v>1</v>
      </c>
      <c r="K29" s="60">
        <f t="shared" si="0"/>
        <v>29368</v>
      </c>
      <c r="L29" s="15">
        <v>0</v>
      </c>
      <c r="M29" s="60">
        <f t="shared" si="1"/>
        <v>0</v>
      </c>
      <c r="N29" s="47">
        <f t="shared" si="2"/>
        <v>1</v>
      </c>
      <c r="O29" s="396">
        <v>26708.4574144</v>
      </c>
      <c r="P29" s="382"/>
      <c r="Q29" s="382"/>
      <c r="R29" s="382"/>
    </row>
    <row r="30" spans="1:34" ht="15.75" customHeight="1" thickBot="1" x14ac:dyDescent="0.3">
      <c r="A30" s="551"/>
      <c r="B30" s="551"/>
      <c r="C30" s="551"/>
      <c r="D30" s="659"/>
      <c r="E30" s="31" t="s">
        <v>293</v>
      </c>
      <c r="F30" s="257" t="s">
        <v>294</v>
      </c>
      <c r="G30" s="15">
        <v>1</v>
      </c>
      <c r="H30" s="59">
        <f>'TABLA GENERAL'!D40</f>
        <v>26082</v>
      </c>
      <c r="I30" s="115">
        <v>26082</v>
      </c>
      <c r="J30" s="15">
        <v>1</v>
      </c>
      <c r="K30" s="60">
        <f t="shared" si="0"/>
        <v>26082</v>
      </c>
      <c r="L30" s="15">
        <v>0</v>
      </c>
      <c r="M30" s="60">
        <f t="shared" si="1"/>
        <v>0</v>
      </c>
      <c r="N30" s="47">
        <f t="shared" si="2"/>
        <v>1</v>
      </c>
      <c r="O30" s="396">
        <v>23720.034945600004</v>
      </c>
      <c r="P30" s="382"/>
      <c r="Q30" s="382"/>
      <c r="R30" s="382"/>
    </row>
    <row r="31" spans="1:34" ht="16.5" customHeight="1" thickBot="1" x14ac:dyDescent="0.3">
      <c r="A31" s="551"/>
      <c r="B31" s="551"/>
      <c r="C31" s="552"/>
      <c r="D31" s="656"/>
      <c r="E31" s="31" t="s">
        <v>295</v>
      </c>
      <c r="F31" s="257" t="s">
        <v>296</v>
      </c>
      <c r="G31" s="15">
        <v>10</v>
      </c>
      <c r="H31" s="59">
        <f>'TABLA GENERAL'!D41</f>
        <v>44012</v>
      </c>
      <c r="I31" s="115">
        <v>440120</v>
      </c>
      <c r="J31" s="15">
        <v>1</v>
      </c>
      <c r="K31" s="60">
        <f t="shared" si="0"/>
        <v>44012</v>
      </c>
      <c r="L31" s="15">
        <v>2</v>
      </c>
      <c r="M31" s="60">
        <f t="shared" si="1"/>
        <v>88024</v>
      </c>
      <c r="N31" s="47">
        <f t="shared" si="2"/>
        <v>3</v>
      </c>
      <c r="O31" s="396">
        <v>120078.92546879999</v>
      </c>
      <c r="P31" s="382"/>
      <c r="Q31" s="382"/>
      <c r="R31" s="382"/>
    </row>
    <row r="32" spans="1:34" ht="25.5" customHeight="1" thickBot="1" x14ac:dyDescent="0.3">
      <c r="A32" s="551"/>
      <c r="B32" s="551"/>
      <c r="C32" s="640" t="s">
        <v>297</v>
      </c>
      <c r="D32" s="641"/>
      <c r="E32" s="31" t="s">
        <v>298</v>
      </c>
      <c r="F32" s="257" t="s">
        <v>299</v>
      </c>
      <c r="G32" s="15">
        <v>2</v>
      </c>
      <c r="H32" s="59">
        <f>'TABLA GENERAL'!D42</f>
        <v>25629</v>
      </c>
      <c r="I32" s="115">
        <v>51258</v>
      </c>
      <c r="J32" s="15">
        <v>0</v>
      </c>
      <c r="K32" s="60">
        <f t="shared" si="0"/>
        <v>0</v>
      </c>
      <c r="L32" s="15">
        <v>1</v>
      </c>
      <c r="M32" s="60">
        <f t="shared" si="1"/>
        <v>25629</v>
      </c>
      <c r="N32" s="47">
        <f t="shared" si="2"/>
        <v>1</v>
      </c>
      <c r="O32" s="396">
        <v>23308.058263200001</v>
      </c>
      <c r="P32" s="382"/>
      <c r="Q32" s="382"/>
      <c r="R32" s="382"/>
    </row>
    <row r="33" spans="1:25" ht="15.75" thickBot="1" x14ac:dyDescent="0.3">
      <c r="A33" s="551"/>
      <c r="B33" s="551"/>
      <c r="C33" s="642"/>
      <c r="D33" s="643"/>
      <c r="E33" s="31" t="s">
        <v>300</v>
      </c>
      <c r="F33" s="257" t="s">
        <v>301</v>
      </c>
      <c r="G33" s="15">
        <v>3</v>
      </c>
      <c r="H33" s="59">
        <f>'TABLA GENERAL'!D45</f>
        <v>2744</v>
      </c>
      <c r="I33" s="115">
        <v>8232</v>
      </c>
      <c r="J33" s="15">
        <v>1</v>
      </c>
      <c r="K33" s="60">
        <f t="shared" si="0"/>
        <v>2744</v>
      </c>
      <c r="L33" s="15">
        <v>0</v>
      </c>
      <c r="M33" s="60">
        <f t="shared" si="1"/>
        <v>0</v>
      </c>
      <c r="N33" s="47">
        <f t="shared" si="2"/>
        <v>1</v>
      </c>
      <c r="O33" s="396">
        <v>2495.5055552000003</v>
      </c>
      <c r="P33" s="382"/>
      <c r="Q33" s="382"/>
      <c r="R33" s="382"/>
    </row>
    <row r="34" spans="1:25" ht="15.75" thickBot="1" x14ac:dyDescent="0.3">
      <c r="A34" s="551"/>
      <c r="B34" s="551"/>
      <c r="C34" s="642"/>
      <c r="D34" s="643"/>
      <c r="E34" s="31" t="s">
        <v>302</v>
      </c>
      <c r="F34" s="257" t="s">
        <v>303</v>
      </c>
      <c r="G34" s="15">
        <v>2</v>
      </c>
      <c r="H34" s="59">
        <f>'TABLA GENERAL'!D46</f>
        <v>71054</v>
      </c>
      <c r="I34" s="115">
        <v>142108</v>
      </c>
      <c r="J34" s="15">
        <v>0</v>
      </c>
      <c r="K34" s="60">
        <f t="shared" si="0"/>
        <v>0</v>
      </c>
      <c r="L34" s="15">
        <v>1</v>
      </c>
      <c r="M34" s="60">
        <f t="shared" si="1"/>
        <v>71054</v>
      </c>
      <c r="N34" s="47">
        <f t="shared" si="2"/>
        <v>1</v>
      </c>
      <c r="O34" s="396">
        <v>64619.406603200005</v>
      </c>
      <c r="P34" s="382"/>
      <c r="Q34" s="382"/>
      <c r="R34" s="382"/>
    </row>
    <row r="35" spans="1:25" ht="15.75" thickBot="1" x14ac:dyDescent="0.3">
      <c r="A35" s="551"/>
      <c r="B35" s="551"/>
      <c r="C35" s="642"/>
      <c r="D35" s="643"/>
      <c r="E35" s="31" t="s">
        <v>304</v>
      </c>
      <c r="F35" s="257" t="s">
        <v>305</v>
      </c>
      <c r="G35" s="15">
        <v>2</v>
      </c>
      <c r="H35" s="59">
        <f>'TABLA GENERAL'!D47</f>
        <v>80516</v>
      </c>
      <c r="I35" s="115">
        <v>161032</v>
      </c>
      <c r="J35" s="15">
        <v>0</v>
      </c>
      <c r="K35" s="60">
        <f t="shared" si="0"/>
        <v>0</v>
      </c>
      <c r="L35" s="15">
        <v>1</v>
      </c>
      <c r="M35" s="60">
        <f t="shared" si="1"/>
        <v>80516</v>
      </c>
      <c r="N35" s="47">
        <f t="shared" si="2"/>
        <v>1</v>
      </c>
      <c r="O35" s="396">
        <v>73224.535452800003</v>
      </c>
      <c r="P35" s="382"/>
      <c r="Q35" s="382"/>
      <c r="R35" s="382"/>
    </row>
    <row r="36" spans="1:25" ht="15.75" thickBot="1" x14ac:dyDescent="0.3">
      <c r="A36" s="552"/>
      <c r="B36" s="551"/>
      <c r="C36" s="644"/>
      <c r="D36" s="645"/>
      <c r="E36" s="31" t="s">
        <v>306</v>
      </c>
      <c r="F36" s="410" t="s">
        <v>307</v>
      </c>
      <c r="G36" s="51">
        <v>1</v>
      </c>
      <c r="H36" s="71">
        <f>'TABLA GENERAL'!D48</f>
        <v>670956</v>
      </c>
      <c r="I36" s="116">
        <v>670956</v>
      </c>
      <c r="J36" s="51">
        <f>0.25+0.1</f>
        <v>0.35</v>
      </c>
      <c r="K36" s="60">
        <f t="shared" si="0"/>
        <v>234834.59999999998</v>
      </c>
      <c r="L36" s="51">
        <v>0.3</v>
      </c>
      <c r="M36" s="60">
        <f t="shared" si="1"/>
        <v>201286.8</v>
      </c>
      <c r="N36" s="47">
        <f t="shared" si="2"/>
        <v>0.64999999999999991</v>
      </c>
      <c r="O36" s="396">
        <v>396626.59491312003</v>
      </c>
      <c r="P36" s="382"/>
      <c r="Q36" s="382"/>
      <c r="R36" s="382"/>
    </row>
    <row r="37" spans="1:25" ht="17.25" thickBot="1" x14ac:dyDescent="0.3">
      <c r="A37" s="112"/>
      <c r="B37" s="552"/>
      <c r="C37" s="308"/>
      <c r="D37" s="112"/>
      <c r="E37" s="112"/>
      <c r="F37" s="112" t="s">
        <v>308</v>
      </c>
      <c r="G37" s="112"/>
      <c r="H37" s="112"/>
      <c r="I37" s="118">
        <f>SUM(I3:I36)</f>
        <v>7274066</v>
      </c>
      <c r="J37" s="112"/>
      <c r="K37" s="119">
        <f>SUM(K3:K36)</f>
        <v>1712801.6</v>
      </c>
      <c r="L37" s="112"/>
      <c r="M37" s="119">
        <f>SUM(M3:M36)</f>
        <v>1606524.8</v>
      </c>
      <c r="N37" s="112"/>
      <c r="O37" s="385">
        <v>3018730.8566771201</v>
      </c>
      <c r="P37" s="392"/>
      <c r="Q37" s="392"/>
      <c r="R37" s="392"/>
    </row>
    <row r="38" spans="1:25" thickBot="1" x14ac:dyDescent="0.35"/>
    <row r="39" spans="1:25" ht="47.25" customHeight="1" thickBot="1" x14ac:dyDescent="0.35">
      <c r="B39" s="195"/>
      <c r="C39" s="195"/>
      <c r="D39" s="195"/>
      <c r="E39" s="413"/>
      <c r="F39" s="617" t="s">
        <v>309</v>
      </c>
      <c r="G39" s="618"/>
      <c r="H39" s="618"/>
      <c r="I39" s="618"/>
      <c r="J39" s="618"/>
      <c r="K39" s="618"/>
      <c r="L39" s="618"/>
      <c r="M39" s="618"/>
      <c r="N39" s="618"/>
      <c r="O39" s="619"/>
      <c r="P39" s="381"/>
      <c r="Q39" s="381"/>
      <c r="R39" s="393"/>
    </row>
    <row r="40" spans="1:25" ht="50.25" customHeight="1" thickBot="1" x14ac:dyDescent="0.3">
      <c r="A40" s="314" t="s">
        <v>228</v>
      </c>
      <c r="B40" s="550" t="s">
        <v>310</v>
      </c>
      <c r="C40" s="121"/>
      <c r="D40" s="122"/>
      <c r="E40" s="402"/>
      <c r="F40" s="112" t="s">
        <v>85</v>
      </c>
      <c r="G40" s="314" t="s">
        <v>229</v>
      </c>
      <c r="H40" s="314" t="s">
        <v>123</v>
      </c>
      <c r="I40" s="113" t="s">
        <v>230</v>
      </c>
      <c r="J40" s="314">
        <v>2021</v>
      </c>
      <c r="K40" s="314" t="s">
        <v>79</v>
      </c>
      <c r="L40" s="314">
        <v>2022</v>
      </c>
      <c r="M40" s="314" t="s">
        <v>79</v>
      </c>
      <c r="N40" s="314" t="s">
        <v>754</v>
      </c>
      <c r="O40" s="314" t="s">
        <v>79</v>
      </c>
      <c r="P40" s="383" t="s">
        <v>821</v>
      </c>
      <c r="Q40" s="383" t="s">
        <v>822</v>
      </c>
      <c r="R40" s="401" t="s">
        <v>825</v>
      </c>
      <c r="S40" s="408" t="s">
        <v>818</v>
      </c>
      <c r="T40" s="384" t="s">
        <v>819</v>
      </c>
      <c r="U40" s="384" t="s">
        <v>820</v>
      </c>
    </row>
    <row r="41" spans="1:25" ht="39.75" customHeight="1" thickBot="1" x14ac:dyDescent="0.3">
      <c r="A41" s="279"/>
      <c r="B41" s="551"/>
      <c r="C41" s="646"/>
      <c r="D41" s="647"/>
      <c r="E41" s="416" t="s">
        <v>314</v>
      </c>
      <c r="F41" s="417" t="s">
        <v>315</v>
      </c>
      <c r="G41" s="418">
        <v>84</v>
      </c>
      <c r="H41" s="419">
        <f>'TABLA GENERAL'!D57</f>
        <v>2300</v>
      </c>
      <c r="I41" s="420">
        <f t="shared" ref="I41:I44" si="3">G41*H41</f>
        <v>193200</v>
      </c>
      <c r="J41" s="418">
        <v>12</v>
      </c>
      <c r="K41" s="421">
        <f t="shared" ref="K41:K44" si="4">J41*H41</f>
        <v>27600</v>
      </c>
      <c r="L41" s="418">
        <v>12</v>
      </c>
      <c r="M41" s="421">
        <f t="shared" ref="M41:M44" si="5">L41*H41</f>
        <v>27600</v>
      </c>
      <c r="N41" s="422">
        <v>30</v>
      </c>
      <c r="O41" s="423">
        <v>69684.119536504048</v>
      </c>
      <c r="P41" s="423">
        <v>2000</v>
      </c>
      <c r="Q41" s="423">
        <f>+P41*N41</f>
        <v>60000</v>
      </c>
      <c r="R41" s="423">
        <f>+O41-Q41</f>
        <v>9684.1195365040476</v>
      </c>
      <c r="S41" s="424" t="s">
        <v>848</v>
      </c>
    </row>
    <row r="42" spans="1:25" ht="49.5" customHeight="1" thickBot="1" x14ac:dyDescent="0.3">
      <c r="A42" s="279"/>
      <c r="B42" s="551"/>
      <c r="C42" s="646"/>
      <c r="D42" s="647"/>
      <c r="E42" s="416" t="s">
        <v>94</v>
      </c>
      <c r="F42" s="417" t="s">
        <v>93</v>
      </c>
      <c r="G42" s="418">
        <v>125</v>
      </c>
      <c r="H42" s="419">
        <f>'TABLA GENERAL'!D58</f>
        <v>1690</v>
      </c>
      <c r="I42" s="420">
        <f t="shared" si="3"/>
        <v>211250</v>
      </c>
      <c r="J42" s="418">
        <v>14</v>
      </c>
      <c r="K42" s="421">
        <f t="shared" si="4"/>
        <v>23660</v>
      </c>
      <c r="L42" s="418">
        <v>12</v>
      </c>
      <c r="M42" s="421">
        <f t="shared" si="5"/>
        <v>20280</v>
      </c>
      <c r="N42" s="422">
        <f t="shared" si="2"/>
        <v>26</v>
      </c>
      <c r="O42" s="423">
        <v>55469.569065833115</v>
      </c>
      <c r="P42" s="423">
        <v>2200</v>
      </c>
      <c r="Q42" s="423">
        <f t="shared" ref="Q42:Q48" si="6">+P42*N42</f>
        <v>57200</v>
      </c>
      <c r="R42" s="423">
        <f>+O42-Q42</f>
        <v>-1730.430934166885</v>
      </c>
      <c r="S42" s="425" t="s">
        <v>847</v>
      </c>
      <c r="U42" t="s">
        <v>823</v>
      </c>
    </row>
    <row r="43" spans="1:25" ht="57.75" customHeight="1" thickBot="1" x14ac:dyDescent="0.3">
      <c r="A43" s="279"/>
      <c r="B43" s="551"/>
      <c r="C43" s="646"/>
      <c r="D43" s="647"/>
      <c r="E43" s="416" t="s">
        <v>92</v>
      </c>
      <c r="F43" s="417" t="s">
        <v>91</v>
      </c>
      <c r="G43" s="418">
        <v>140</v>
      </c>
      <c r="H43" s="419">
        <f>'TABLA GENERAL'!D59</f>
        <v>13300</v>
      </c>
      <c r="I43" s="420">
        <f t="shared" si="3"/>
        <v>1862000</v>
      </c>
      <c r="J43" s="418">
        <v>12</v>
      </c>
      <c r="K43" s="421">
        <f t="shared" si="4"/>
        <v>159600</v>
      </c>
      <c r="L43" s="418">
        <v>12</v>
      </c>
      <c r="M43" s="421">
        <f t="shared" si="5"/>
        <v>159600</v>
      </c>
      <c r="N43" s="422">
        <v>60</v>
      </c>
      <c r="O43" s="423">
        <v>402955.99558065383</v>
      </c>
      <c r="P43" s="423">
        <v>8300</v>
      </c>
      <c r="Q43" s="423">
        <f t="shared" si="6"/>
        <v>498000</v>
      </c>
      <c r="R43" s="423">
        <f t="shared" ref="R43:R48" si="7">+O43-Q43</f>
        <v>-95044.004419346165</v>
      </c>
      <c r="S43" s="425" t="s">
        <v>859</v>
      </c>
      <c r="U43" s="468">
        <f>+O43+159600</f>
        <v>562555.99558065389</v>
      </c>
      <c r="V43" s="468">
        <f>+U43-(P43*65)</f>
        <v>23055.995580653893</v>
      </c>
      <c r="X43" s="468"/>
      <c r="Y43" s="468"/>
    </row>
    <row r="44" spans="1:25" ht="51" customHeight="1" thickBot="1" x14ac:dyDescent="0.3">
      <c r="A44" s="279"/>
      <c r="B44" s="551"/>
      <c r="C44" s="646"/>
      <c r="D44" s="647"/>
      <c r="E44" s="414" t="s">
        <v>330</v>
      </c>
      <c r="F44" s="398" t="s">
        <v>849</v>
      </c>
      <c r="G44" s="15">
        <v>56</v>
      </c>
      <c r="H44" s="59">
        <f>'TABLA GENERAL'!D69</f>
        <v>712</v>
      </c>
      <c r="I44" s="115">
        <f t="shared" si="3"/>
        <v>39872</v>
      </c>
      <c r="J44" s="15">
        <v>12</v>
      </c>
      <c r="K44" s="60">
        <f t="shared" si="4"/>
        <v>8544</v>
      </c>
      <c r="L44" s="15">
        <v>0</v>
      </c>
      <c r="M44" s="60">
        <f t="shared" si="5"/>
        <v>0</v>
      </c>
      <c r="N44" s="422">
        <f t="shared" si="2"/>
        <v>12</v>
      </c>
      <c r="O44" s="423">
        <v>10785.889806519759</v>
      </c>
      <c r="P44" s="427"/>
      <c r="Q44" s="423">
        <f t="shared" si="6"/>
        <v>0</v>
      </c>
      <c r="R44" s="423">
        <f t="shared" si="7"/>
        <v>10785.889806519759</v>
      </c>
      <c r="S44" s="424" t="s">
        <v>829</v>
      </c>
    </row>
    <row r="45" spans="1:25" ht="66" customHeight="1" thickBot="1" x14ac:dyDescent="0.3">
      <c r="A45" s="279"/>
      <c r="B45" s="551"/>
      <c r="C45" s="629"/>
      <c r="D45" s="638"/>
      <c r="E45" s="426" t="s">
        <v>447</v>
      </c>
      <c r="F45" s="417" t="s">
        <v>448</v>
      </c>
      <c r="G45" s="418">
        <v>9</v>
      </c>
      <c r="H45" s="419">
        <f>'TABLA GENERAL'!D136</f>
        <v>485</v>
      </c>
      <c r="I45" s="420">
        <f t="shared" ref="I45:I47" si="8">G45*H45</f>
        <v>4365</v>
      </c>
      <c r="J45" s="418">
        <v>0</v>
      </c>
      <c r="K45" s="421">
        <f t="shared" ref="K45:K48" si="9">J45*H45</f>
        <v>0</v>
      </c>
      <c r="L45" s="418">
        <v>1</v>
      </c>
      <c r="M45" s="421">
        <f t="shared" ref="M45:M48" si="10">L45*H45</f>
        <v>485</v>
      </c>
      <c r="N45" s="418">
        <f t="shared" ref="N45:N48" si="11">+L45+J45</f>
        <v>1</v>
      </c>
      <c r="O45" s="423">
        <v>612.26083288413884</v>
      </c>
      <c r="P45" s="423">
        <v>900</v>
      </c>
      <c r="Q45" s="423">
        <f t="shared" si="6"/>
        <v>900</v>
      </c>
      <c r="R45" s="423">
        <f t="shared" si="7"/>
        <v>-287.73916711586116</v>
      </c>
      <c r="S45" s="425" t="s">
        <v>842</v>
      </c>
    </row>
    <row r="46" spans="1:25" ht="18" customHeight="1" thickBot="1" x14ac:dyDescent="0.3">
      <c r="A46" s="279"/>
      <c r="B46" s="551"/>
      <c r="C46" s="629"/>
      <c r="D46" s="638"/>
      <c r="E46" s="426" t="s">
        <v>69</v>
      </c>
      <c r="F46" s="417" t="s">
        <v>850</v>
      </c>
      <c r="G46" s="418">
        <v>83</v>
      </c>
      <c r="H46" s="419">
        <f>'TABLA GENERAL'!D137</f>
        <v>3800</v>
      </c>
      <c r="I46" s="420">
        <f t="shared" si="8"/>
        <v>315400</v>
      </c>
      <c r="J46" s="418">
        <v>0</v>
      </c>
      <c r="K46" s="421">
        <f t="shared" si="9"/>
        <v>0</v>
      </c>
      <c r="L46" s="418">
        <v>14</v>
      </c>
      <c r="M46" s="421">
        <f t="shared" si="10"/>
        <v>53200</v>
      </c>
      <c r="N46" s="418">
        <f t="shared" si="11"/>
        <v>14</v>
      </c>
      <c r="O46" s="423">
        <v>67159.332596775654</v>
      </c>
      <c r="P46" s="423"/>
      <c r="Q46" s="423">
        <f t="shared" si="6"/>
        <v>0</v>
      </c>
      <c r="R46" s="423">
        <f t="shared" si="7"/>
        <v>67159.332596775654</v>
      </c>
      <c r="S46" s="424" t="s">
        <v>851</v>
      </c>
    </row>
    <row r="47" spans="1:25" ht="15.75" thickBot="1" x14ac:dyDescent="0.3">
      <c r="A47" s="279"/>
      <c r="B47" s="551"/>
      <c r="C47" s="629"/>
      <c r="D47" s="638"/>
      <c r="E47" s="397" t="s">
        <v>449</v>
      </c>
      <c r="F47" s="398" t="s">
        <v>450</v>
      </c>
      <c r="G47" s="15">
        <v>7</v>
      </c>
      <c r="H47" s="59">
        <f>'TABLA GENERAL'!D138</f>
        <v>1246</v>
      </c>
      <c r="I47" s="115">
        <f t="shared" si="8"/>
        <v>8722</v>
      </c>
      <c r="J47" s="20">
        <v>0</v>
      </c>
      <c r="K47" s="60">
        <f t="shared" si="9"/>
        <v>0</v>
      </c>
      <c r="L47" s="20">
        <v>1</v>
      </c>
      <c r="M47" s="60">
        <f t="shared" si="10"/>
        <v>1246</v>
      </c>
      <c r="N47" s="418">
        <f t="shared" si="11"/>
        <v>1</v>
      </c>
      <c r="O47" s="423">
        <v>1572.942263450798</v>
      </c>
      <c r="P47" s="423"/>
      <c r="Q47" s="423">
        <f t="shared" si="6"/>
        <v>0</v>
      </c>
      <c r="R47" s="423">
        <f t="shared" si="7"/>
        <v>1572.942263450798</v>
      </c>
      <c r="S47" s="424" t="s">
        <v>829</v>
      </c>
    </row>
    <row r="48" spans="1:25" ht="16.5" customHeight="1" thickBot="1" x14ac:dyDescent="0.3">
      <c r="A48" s="280"/>
      <c r="B48" s="280"/>
      <c r="C48" s="635"/>
      <c r="D48" s="308"/>
      <c r="E48" s="397" t="s">
        <v>65</v>
      </c>
      <c r="F48" s="398" t="s">
        <v>64</v>
      </c>
      <c r="G48" s="15">
        <v>4</v>
      </c>
      <c r="H48" s="59">
        <f>'TABLA GENERAL'!D149</f>
        <v>3250</v>
      </c>
      <c r="I48" s="115">
        <f>G48*H48</f>
        <v>13000</v>
      </c>
      <c r="J48" s="20">
        <v>0</v>
      </c>
      <c r="K48" s="60">
        <f t="shared" si="9"/>
        <v>0</v>
      </c>
      <c r="L48" s="20">
        <v>1</v>
      </c>
      <c r="M48" s="60">
        <f t="shared" si="10"/>
        <v>3250</v>
      </c>
      <c r="N48" s="418">
        <f t="shared" si="11"/>
        <v>1</v>
      </c>
      <c r="O48" s="423">
        <v>4102.7787770586629</v>
      </c>
      <c r="P48" s="423"/>
      <c r="Q48" s="423">
        <f t="shared" si="6"/>
        <v>0</v>
      </c>
      <c r="R48" s="423">
        <f t="shared" si="7"/>
        <v>4102.7787770586629</v>
      </c>
      <c r="S48" s="424" t="s">
        <v>829</v>
      </c>
    </row>
    <row r="49" spans="1:21" ht="17.25" thickBot="1" x14ac:dyDescent="0.3">
      <c r="A49" s="112"/>
      <c r="B49" s="112"/>
      <c r="C49" s="112"/>
      <c r="D49" s="124"/>
      <c r="E49" s="112"/>
      <c r="F49" s="112" t="s">
        <v>472</v>
      </c>
      <c r="G49" s="112"/>
      <c r="H49" s="112"/>
      <c r="I49" s="118">
        <f>SUM(I41:I48)</f>
        <v>2647809</v>
      </c>
      <c r="J49" s="112"/>
      <c r="K49" s="119">
        <f>SUM(K41:K48)</f>
        <v>219404</v>
      </c>
      <c r="L49" s="112"/>
      <c r="M49" s="119">
        <f>SUM(M41:M48)</f>
        <v>265661</v>
      </c>
      <c r="N49" s="112"/>
      <c r="O49" s="386">
        <v>612342.88845968002</v>
      </c>
      <c r="P49" s="392"/>
      <c r="Q49" s="392"/>
      <c r="R49" s="392"/>
    </row>
    <row r="50" spans="1:21" ht="15.75" thickBot="1" x14ac:dyDescent="0.3">
      <c r="I50"/>
    </row>
    <row r="51" spans="1:21" ht="47.25" customHeight="1" thickBot="1" x14ac:dyDescent="0.3">
      <c r="B51" s="195"/>
      <c r="C51" s="195"/>
      <c r="D51" s="195"/>
      <c r="E51" s="413"/>
      <c r="F51" s="617" t="s">
        <v>473</v>
      </c>
      <c r="G51" s="618"/>
      <c r="H51" s="618"/>
      <c r="I51" s="618"/>
      <c r="J51" s="618"/>
      <c r="K51" s="618"/>
      <c r="L51" s="618"/>
      <c r="M51" s="618"/>
      <c r="N51" s="618"/>
      <c r="O51" s="619"/>
      <c r="P51" s="381"/>
      <c r="Q51" s="381"/>
      <c r="R51" s="393"/>
    </row>
    <row r="52" spans="1:21" ht="72" customHeight="1" thickBot="1" x14ac:dyDescent="0.3">
      <c r="A52" s="314" t="s">
        <v>228</v>
      </c>
      <c r="B52" s="314"/>
      <c r="C52" s="314"/>
      <c r="D52" s="314"/>
      <c r="E52" s="402"/>
      <c r="F52" s="402" t="s">
        <v>85</v>
      </c>
      <c r="G52" s="314" t="s">
        <v>229</v>
      </c>
      <c r="H52" s="314" t="s">
        <v>123</v>
      </c>
      <c r="I52" s="113" t="s">
        <v>230</v>
      </c>
      <c r="J52" s="314">
        <v>2021</v>
      </c>
      <c r="K52" s="314" t="s">
        <v>79</v>
      </c>
      <c r="L52" s="314">
        <v>2022</v>
      </c>
      <c r="M52" s="314" t="s">
        <v>79</v>
      </c>
      <c r="N52" s="314" t="s">
        <v>754</v>
      </c>
      <c r="O52" s="314" t="s">
        <v>79</v>
      </c>
      <c r="P52" s="383" t="s">
        <v>821</v>
      </c>
      <c r="Q52" s="383" t="s">
        <v>822</v>
      </c>
      <c r="R52" s="401" t="s">
        <v>825</v>
      </c>
      <c r="S52" s="405" t="s">
        <v>818</v>
      </c>
      <c r="T52" s="384" t="s">
        <v>819</v>
      </c>
      <c r="U52" s="384" t="s">
        <v>820</v>
      </c>
    </row>
    <row r="53" spans="1:21" ht="18" customHeight="1" thickBot="1" x14ac:dyDescent="0.3">
      <c r="A53" s="558" t="s">
        <v>473</v>
      </c>
      <c r="B53" s="550" t="s">
        <v>474</v>
      </c>
      <c r="C53" s="627" t="s">
        <v>475</v>
      </c>
      <c r="D53" s="628"/>
      <c r="E53" s="426" t="s">
        <v>476</v>
      </c>
      <c r="F53" s="454" t="s">
        <v>477</v>
      </c>
      <c r="G53" s="422">
        <v>118</v>
      </c>
      <c r="H53" s="455">
        <f>'TABLA GENERAL'!D159</f>
        <v>260</v>
      </c>
      <c r="I53" s="456">
        <f>H53*G53</f>
        <v>30680</v>
      </c>
      <c r="J53" s="418">
        <v>0</v>
      </c>
      <c r="K53" s="421">
        <f>J53*H53</f>
        <v>0</v>
      </c>
      <c r="L53" s="418">
        <v>14</v>
      </c>
      <c r="M53" s="421">
        <f>L53*H53</f>
        <v>3640</v>
      </c>
      <c r="N53" s="418">
        <f t="shared" ref="N53" si="12">+L53+J53</f>
        <v>14</v>
      </c>
      <c r="O53" s="423">
        <v>3185</v>
      </c>
      <c r="P53" s="423">
        <v>325</v>
      </c>
      <c r="Q53" s="423">
        <f>+P53*N53</f>
        <v>4550</v>
      </c>
      <c r="R53" s="423">
        <f t="shared" ref="R53:R59" si="13">+O53-Q53</f>
        <v>-1365</v>
      </c>
      <c r="S53" s="424" t="s">
        <v>852</v>
      </c>
    </row>
    <row r="54" spans="1:21" ht="18" customHeight="1" thickBot="1" x14ac:dyDescent="0.3">
      <c r="A54" s="559" t="s">
        <v>473</v>
      </c>
      <c r="B54" s="551"/>
      <c r="C54" s="629"/>
      <c r="D54" s="630"/>
      <c r="E54" s="426" t="s">
        <v>478</v>
      </c>
      <c r="F54" s="417" t="s">
        <v>479</v>
      </c>
      <c r="G54" s="418">
        <v>92</v>
      </c>
      <c r="H54" s="455">
        <f>'TABLA GENERAL'!D160</f>
        <v>84</v>
      </c>
      <c r="I54" s="456">
        <f t="shared" ref="I54:I59" si="14">H54*G54</f>
        <v>7728</v>
      </c>
      <c r="J54" s="418">
        <v>0</v>
      </c>
      <c r="K54" s="421">
        <f t="shared" ref="K54:K59" si="15">J54*H54</f>
        <v>0</v>
      </c>
      <c r="L54" s="418">
        <v>14</v>
      </c>
      <c r="M54" s="421">
        <f>L54*H54</f>
        <v>1176</v>
      </c>
      <c r="N54" s="418">
        <f t="shared" ref="N54:N69" si="16">+L54+J54</f>
        <v>14</v>
      </c>
      <c r="O54" s="423">
        <v>1028.9999999999998</v>
      </c>
      <c r="P54" s="423">
        <v>45</v>
      </c>
      <c r="Q54" s="423">
        <f t="shared" ref="Q54:Q56" si="17">+P54*N54</f>
        <v>630</v>
      </c>
      <c r="R54" s="423">
        <f t="shared" si="13"/>
        <v>398.99999999999977</v>
      </c>
      <c r="S54" s="424" t="s">
        <v>857</v>
      </c>
    </row>
    <row r="55" spans="1:21" ht="18" customHeight="1" thickBot="1" x14ac:dyDescent="0.3">
      <c r="A55" s="559" t="s">
        <v>473</v>
      </c>
      <c r="B55" s="551"/>
      <c r="C55" s="629"/>
      <c r="D55" s="630"/>
      <c r="E55" s="426" t="s">
        <v>480</v>
      </c>
      <c r="F55" s="417" t="s">
        <v>481</v>
      </c>
      <c r="G55" s="418">
        <v>111</v>
      </c>
      <c r="H55" s="455">
        <f>'TABLA GENERAL'!D161</f>
        <v>29</v>
      </c>
      <c r="I55" s="456">
        <f t="shared" si="14"/>
        <v>3219</v>
      </c>
      <c r="J55" s="418">
        <v>0</v>
      </c>
      <c r="K55" s="421">
        <f t="shared" si="15"/>
        <v>0</v>
      </c>
      <c r="L55" s="418">
        <v>14</v>
      </c>
      <c r="M55" s="421">
        <f t="shared" ref="M55:M59" si="18">L55*H55</f>
        <v>406</v>
      </c>
      <c r="N55" s="418">
        <f t="shared" si="16"/>
        <v>14</v>
      </c>
      <c r="O55" s="423">
        <v>355.24999999999994</v>
      </c>
      <c r="P55" s="423">
        <v>36</v>
      </c>
      <c r="Q55" s="423">
        <f t="shared" si="17"/>
        <v>504</v>
      </c>
      <c r="R55" s="423">
        <f>+O55-Q55</f>
        <v>-148.75000000000006</v>
      </c>
      <c r="S55" s="424" t="s">
        <v>857</v>
      </c>
    </row>
    <row r="56" spans="1:21" ht="30.75" thickBot="1" x14ac:dyDescent="0.3">
      <c r="A56" s="559" t="s">
        <v>473</v>
      </c>
      <c r="B56" s="551"/>
      <c r="C56" s="629"/>
      <c r="D56" s="630"/>
      <c r="E56" s="426" t="s">
        <v>120</v>
      </c>
      <c r="F56" s="417" t="s">
        <v>119</v>
      </c>
      <c r="G56" s="418">
        <v>68</v>
      </c>
      <c r="H56" s="455">
        <f>'TABLA GENERAL'!D167</f>
        <v>3202</v>
      </c>
      <c r="I56" s="456">
        <f t="shared" si="14"/>
        <v>217736</v>
      </c>
      <c r="J56" s="418">
        <v>14</v>
      </c>
      <c r="K56" s="421">
        <f>J56*H56</f>
        <v>44828</v>
      </c>
      <c r="L56" s="418">
        <v>14</v>
      </c>
      <c r="M56" s="421">
        <f t="shared" si="18"/>
        <v>44828</v>
      </c>
      <c r="N56" s="418">
        <v>23</v>
      </c>
      <c r="O56" s="423">
        <v>78448.999999999985</v>
      </c>
      <c r="P56" s="423">
        <v>3250</v>
      </c>
      <c r="Q56" s="423">
        <f t="shared" si="17"/>
        <v>74750</v>
      </c>
      <c r="R56" s="423">
        <f t="shared" si="13"/>
        <v>3698.9999999999854</v>
      </c>
      <c r="S56" s="424" t="s">
        <v>853</v>
      </c>
    </row>
    <row r="57" spans="1:21" ht="15.75" thickBot="1" x14ac:dyDescent="0.3">
      <c r="A57" s="559" t="s">
        <v>473</v>
      </c>
      <c r="B57" s="551"/>
      <c r="C57" s="629"/>
      <c r="D57" s="630"/>
      <c r="E57" s="426" t="s">
        <v>115</v>
      </c>
      <c r="F57" s="417" t="s">
        <v>114</v>
      </c>
      <c r="G57" s="418">
        <v>56</v>
      </c>
      <c r="H57" s="455">
        <f>'TABLA GENERAL'!D169</f>
        <v>3600</v>
      </c>
      <c r="I57" s="456">
        <f t="shared" si="14"/>
        <v>201600</v>
      </c>
      <c r="J57" s="418">
        <v>18</v>
      </c>
      <c r="K57" s="421">
        <f t="shared" si="15"/>
        <v>64800</v>
      </c>
      <c r="L57" s="418">
        <v>6</v>
      </c>
      <c r="M57" s="421">
        <f t="shared" si="18"/>
        <v>21600</v>
      </c>
      <c r="N57" s="418">
        <v>21</v>
      </c>
      <c r="O57" s="423">
        <v>75599.999999999985</v>
      </c>
      <c r="P57" s="423">
        <v>3550</v>
      </c>
      <c r="Q57" s="423">
        <f>+P57*N57</f>
        <v>74550</v>
      </c>
      <c r="R57" s="423">
        <f t="shared" si="13"/>
        <v>1049.9999999999854</v>
      </c>
      <c r="S57" s="424" t="s">
        <v>831</v>
      </c>
    </row>
    <row r="58" spans="1:21" ht="15.75" thickBot="1" x14ac:dyDescent="0.3">
      <c r="A58" s="559" t="s">
        <v>473</v>
      </c>
      <c r="B58" s="551"/>
      <c r="C58" s="629"/>
      <c r="D58" s="630"/>
      <c r="E58" s="426" t="s">
        <v>109</v>
      </c>
      <c r="F58" s="417" t="s">
        <v>108</v>
      </c>
      <c r="G58" s="418">
        <v>36</v>
      </c>
      <c r="H58" s="419">
        <f>'TABLA GENERAL'!D178</f>
        <v>3305</v>
      </c>
      <c r="I58" s="456">
        <f t="shared" si="14"/>
        <v>118980</v>
      </c>
      <c r="J58" s="418">
        <v>14</v>
      </c>
      <c r="K58" s="421">
        <f t="shared" si="15"/>
        <v>46270</v>
      </c>
      <c r="L58" s="418">
        <v>0</v>
      </c>
      <c r="M58" s="421">
        <f t="shared" si="18"/>
        <v>0</v>
      </c>
      <c r="N58" s="418">
        <v>10</v>
      </c>
      <c r="O58" s="423">
        <v>40486.249999999993</v>
      </c>
      <c r="P58" s="423">
        <v>3900</v>
      </c>
      <c r="Q58" s="423">
        <f>+P58*N58</f>
        <v>39000</v>
      </c>
      <c r="R58" s="423">
        <f t="shared" si="13"/>
        <v>1486.2499999999927</v>
      </c>
      <c r="S58" s="424" t="s">
        <v>854</v>
      </c>
      <c r="T58" s="391" t="s">
        <v>827</v>
      </c>
    </row>
    <row r="59" spans="1:21" ht="21" customHeight="1" thickBot="1" x14ac:dyDescent="0.3">
      <c r="A59" s="559" t="s">
        <v>473</v>
      </c>
      <c r="B59" s="551"/>
      <c r="C59" s="633" t="s">
        <v>511</v>
      </c>
      <c r="D59" s="634"/>
      <c r="E59" s="426" t="s">
        <v>512</v>
      </c>
      <c r="F59" s="417" t="s">
        <v>513</v>
      </c>
      <c r="G59" s="449">
        <v>20</v>
      </c>
      <c r="H59" s="459">
        <f>'TABLA GENERAL'!D186</f>
        <v>1200</v>
      </c>
      <c r="I59" s="460">
        <f t="shared" si="14"/>
        <v>24000</v>
      </c>
      <c r="J59" s="449">
        <v>1</v>
      </c>
      <c r="K59" s="461">
        <f t="shared" si="15"/>
        <v>1200</v>
      </c>
      <c r="L59" s="449">
        <v>1</v>
      </c>
      <c r="M59" s="461">
        <f t="shared" si="18"/>
        <v>1200</v>
      </c>
      <c r="N59" s="449">
        <f t="shared" si="16"/>
        <v>2</v>
      </c>
      <c r="O59" s="423">
        <v>2099.9999999999995</v>
      </c>
      <c r="P59" s="423"/>
      <c r="Q59" s="423"/>
      <c r="R59" s="423">
        <f t="shared" si="13"/>
        <v>2099.9999999999995</v>
      </c>
      <c r="S59" s="424" t="s">
        <v>829</v>
      </c>
      <c r="T59" s="391"/>
    </row>
    <row r="60" spans="1:21" ht="17.25" thickBot="1" x14ac:dyDescent="0.3">
      <c r="A60" s="112"/>
      <c r="B60" s="112"/>
      <c r="C60" s="112"/>
      <c r="D60" s="112"/>
      <c r="E60" s="112"/>
      <c r="F60" s="112" t="s">
        <v>516</v>
      </c>
      <c r="G60" s="112"/>
      <c r="H60" s="112"/>
      <c r="I60" s="118">
        <f>SUM(I53:I59)</f>
        <v>603943</v>
      </c>
      <c r="J60" s="112"/>
      <c r="K60" s="119">
        <f>SUM(K53:K59)</f>
        <v>157098</v>
      </c>
      <c r="L60" s="112"/>
      <c r="M60" s="119">
        <f>SUM(M53:M59)</f>
        <v>72850</v>
      </c>
      <c r="N60" s="112">
        <f t="shared" si="16"/>
        <v>0</v>
      </c>
      <c r="O60" s="387">
        <v>201204.49999999997</v>
      </c>
      <c r="P60" s="392"/>
      <c r="Q60" s="392">
        <f>SUM(Q53:Q59)</f>
        <v>193984</v>
      </c>
      <c r="R60" s="392"/>
    </row>
    <row r="61" spans="1:21" ht="15.75" thickBot="1" x14ac:dyDescent="0.3">
      <c r="N61" s="20"/>
      <c r="O61" s="60"/>
      <c r="P61" s="382"/>
      <c r="Q61" s="382"/>
      <c r="R61" s="382"/>
      <c r="S61" s="467">
        <f>+O58/P58</f>
        <v>10.381089743589742</v>
      </c>
    </row>
    <row r="62" spans="1:21" ht="47.25" customHeight="1" thickBot="1" x14ac:dyDescent="0.3">
      <c r="B62" s="195"/>
      <c r="C62" s="195"/>
      <c r="D62" s="195"/>
      <c r="E62" s="413"/>
      <c r="F62" s="713" t="s">
        <v>517</v>
      </c>
      <c r="G62" s="714"/>
      <c r="H62" s="714"/>
      <c r="I62" s="714"/>
      <c r="J62" s="714"/>
      <c r="K62" s="714"/>
      <c r="L62" s="714"/>
      <c r="M62" s="714"/>
      <c r="N62" s="714"/>
      <c r="O62" s="715"/>
      <c r="P62" s="381"/>
      <c r="Q62" s="381"/>
      <c r="R62" s="393"/>
    </row>
    <row r="63" spans="1:21" ht="66" customHeight="1" x14ac:dyDescent="0.25">
      <c r="A63" s="314" t="s">
        <v>228</v>
      </c>
      <c r="B63" s="314"/>
      <c r="C63" s="314"/>
      <c r="D63" s="400"/>
      <c r="E63" s="405"/>
      <c r="F63" s="405" t="s">
        <v>85</v>
      </c>
      <c r="G63" s="405" t="s">
        <v>229</v>
      </c>
      <c r="H63" s="405" t="s">
        <v>123</v>
      </c>
      <c r="I63" s="433" t="s">
        <v>230</v>
      </c>
      <c r="J63" s="405">
        <v>2021</v>
      </c>
      <c r="K63" s="405" t="s">
        <v>79</v>
      </c>
      <c r="L63" s="405">
        <v>2022</v>
      </c>
      <c r="M63" s="405" t="s">
        <v>79</v>
      </c>
      <c r="N63" s="405" t="s">
        <v>754</v>
      </c>
      <c r="O63" s="405" t="s">
        <v>79</v>
      </c>
      <c r="P63" s="405" t="s">
        <v>821</v>
      </c>
      <c r="Q63" s="405" t="s">
        <v>822</v>
      </c>
      <c r="R63" s="405" t="s">
        <v>825</v>
      </c>
      <c r="S63" s="405" t="s">
        <v>818</v>
      </c>
      <c r="T63" s="384" t="s">
        <v>819</v>
      </c>
      <c r="U63" s="384" t="s">
        <v>820</v>
      </c>
    </row>
    <row r="64" spans="1:21" ht="45" x14ac:dyDescent="0.25">
      <c r="A64" s="559" t="s">
        <v>517</v>
      </c>
      <c r="B64" s="551"/>
      <c r="C64" s="629"/>
      <c r="D64" s="630"/>
      <c r="E64" s="449" t="s">
        <v>128</v>
      </c>
      <c r="F64" s="450" t="s">
        <v>129</v>
      </c>
      <c r="G64" s="418">
        <v>2</v>
      </c>
      <c r="H64" s="419">
        <f>'TABLA GENERAL'!D199</f>
        <v>244998.75</v>
      </c>
      <c r="I64" s="451">
        <f t="shared" ref="I64:I69" si="19">+H64*G64</f>
        <v>489997.5</v>
      </c>
      <c r="J64" s="418">
        <v>0</v>
      </c>
      <c r="K64" s="452">
        <f t="shared" ref="K64:K69" si="20">J64*H64</f>
        <v>0</v>
      </c>
      <c r="L64" s="418">
        <v>1</v>
      </c>
      <c r="M64" s="452">
        <f t="shared" ref="M64:M69" si="21">L64*H64</f>
        <v>244998.75</v>
      </c>
      <c r="N64" s="418">
        <f t="shared" si="16"/>
        <v>1</v>
      </c>
      <c r="O64" s="453">
        <v>214373.90625</v>
      </c>
      <c r="P64" s="453">
        <v>300000</v>
      </c>
      <c r="Q64" s="453">
        <f>+P64*N64</f>
        <v>300000</v>
      </c>
      <c r="R64" s="453">
        <f>+O64-Q64</f>
        <v>-85626.09375</v>
      </c>
      <c r="S64" s="712" t="s">
        <v>832</v>
      </c>
    </row>
    <row r="65" spans="1:23" ht="49.5" customHeight="1" x14ac:dyDescent="0.25">
      <c r="A65" s="559" t="s">
        <v>517</v>
      </c>
      <c r="B65" s="551"/>
      <c r="C65" s="629"/>
      <c r="D65" s="630"/>
      <c r="E65" s="449" t="s">
        <v>132</v>
      </c>
      <c r="F65" s="450" t="s">
        <v>133</v>
      </c>
      <c r="G65" s="418">
        <v>4</v>
      </c>
      <c r="H65" s="419">
        <f>'TABLA GENERAL'!D201</f>
        <v>57249</v>
      </c>
      <c r="I65" s="451">
        <f t="shared" si="19"/>
        <v>228996</v>
      </c>
      <c r="J65" s="418">
        <v>0</v>
      </c>
      <c r="K65" s="452">
        <f t="shared" si="20"/>
        <v>0</v>
      </c>
      <c r="L65" s="418">
        <v>1</v>
      </c>
      <c r="M65" s="452">
        <f t="shared" si="21"/>
        <v>57249</v>
      </c>
      <c r="N65" s="418">
        <f t="shared" si="16"/>
        <v>1</v>
      </c>
      <c r="O65" s="453">
        <v>50092.875000000007</v>
      </c>
      <c r="P65" s="453">
        <v>70000</v>
      </c>
      <c r="Q65" s="453">
        <f t="shared" ref="Q65:Q69" si="22">+P65*N65</f>
        <v>70000</v>
      </c>
      <c r="R65" s="453">
        <f t="shared" ref="R65:R69" si="23">+O65-Q65</f>
        <v>-19907.124999999993</v>
      </c>
      <c r="S65" s="712"/>
    </row>
    <row r="66" spans="1:23" ht="30" x14ac:dyDescent="0.25">
      <c r="A66" s="559" t="s">
        <v>517</v>
      </c>
      <c r="B66" s="551"/>
      <c r="C66" s="629"/>
      <c r="D66" s="630"/>
      <c r="E66" s="449" t="s">
        <v>524</v>
      </c>
      <c r="F66" s="450" t="s">
        <v>525</v>
      </c>
      <c r="G66" s="418">
        <v>8</v>
      </c>
      <c r="H66" s="419">
        <f>'TABLA GENERAL'!D204</f>
        <v>659.99</v>
      </c>
      <c r="I66" s="451">
        <f t="shared" si="19"/>
        <v>5279.92</v>
      </c>
      <c r="J66" s="418">
        <v>0</v>
      </c>
      <c r="K66" s="452">
        <f t="shared" si="20"/>
        <v>0</v>
      </c>
      <c r="L66" s="418">
        <v>2</v>
      </c>
      <c r="M66" s="452">
        <f t="shared" si="21"/>
        <v>1319.98</v>
      </c>
      <c r="N66" s="418">
        <f t="shared" si="16"/>
        <v>2</v>
      </c>
      <c r="O66" s="453">
        <v>1154.9825000000001</v>
      </c>
      <c r="P66" s="453">
        <v>1700</v>
      </c>
      <c r="Q66" s="453">
        <f t="shared" si="22"/>
        <v>3400</v>
      </c>
      <c r="R66" s="453">
        <f t="shared" si="23"/>
        <v>-2245.0174999999999</v>
      </c>
      <c r="S66" s="712"/>
    </row>
    <row r="67" spans="1:23" x14ac:dyDescent="0.25">
      <c r="A67" s="559" t="s">
        <v>517</v>
      </c>
      <c r="B67" s="551"/>
      <c r="C67" s="631"/>
      <c r="D67" s="632"/>
      <c r="E67" s="449" t="s">
        <v>526</v>
      </c>
      <c r="F67" s="450" t="s">
        <v>527</v>
      </c>
      <c r="G67" s="418">
        <v>45</v>
      </c>
      <c r="H67" s="419">
        <f>'TABLA GENERAL'!D205</f>
        <v>2410.9</v>
      </c>
      <c r="I67" s="451">
        <f t="shared" si="19"/>
        <v>108490.5</v>
      </c>
      <c r="J67" s="418">
        <v>0</v>
      </c>
      <c r="K67" s="452">
        <f t="shared" si="20"/>
        <v>0</v>
      </c>
      <c r="L67" s="418">
        <v>2</v>
      </c>
      <c r="M67" s="452">
        <f t="shared" si="21"/>
        <v>4821.8</v>
      </c>
      <c r="N67" s="418">
        <f t="shared" si="16"/>
        <v>2</v>
      </c>
      <c r="O67" s="453">
        <v>4219.0749999999998</v>
      </c>
      <c r="P67" s="453">
        <v>5500</v>
      </c>
      <c r="Q67" s="453">
        <f t="shared" si="22"/>
        <v>11000</v>
      </c>
      <c r="R67" s="453">
        <f t="shared" si="23"/>
        <v>-6780.9250000000002</v>
      </c>
      <c r="S67" s="712"/>
    </row>
    <row r="68" spans="1:23" ht="30" x14ac:dyDescent="0.25">
      <c r="A68" s="559" t="s">
        <v>517</v>
      </c>
      <c r="B68" s="551"/>
      <c r="C68" s="629"/>
      <c r="D68" s="630"/>
      <c r="E68" s="449" t="s">
        <v>529</v>
      </c>
      <c r="F68" s="450" t="s">
        <v>530</v>
      </c>
      <c r="G68" s="418">
        <v>52</v>
      </c>
      <c r="H68" s="419">
        <f>'TABLA GENERAL'!D207</f>
        <v>2134</v>
      </c>
      <c r="I68" s="451">
        <f t="shared" si="19"/>
        <v>110968</v>
      </c>
      <c r="J68" s="418">
        <v>0</v>
      </c>
      <c r="K68" s="452">
        <f t="shared" si="20"/>
        <v>0</v>
      </c>
      <c r="L68" s="418">
        <v>2</v>
      </c>
      <c r="M68" s="452">
        <f t="shared" si="21"/>
        <v>4268</v>
      </c>
      <c r="N68" s="418">
        <f t="shared" si="16"/>
        <v>2</v>
      </c>
      <c r="O68" s="453">
        <v>3734.5000000000005</v>
      </c>
      <c r="P68" s="453">
        <v>4500</v>
      </c>
      <c r="Q68" s="453">
        <f t="shared" si="22"/>
        <v>9000</v>
      </c>
      <c r="R68" s="453">
        <f t="shared" si="23"/>
        <v>-5265.5</v>
      </c>
      <c r="S68" s="424" t="s">
        <v>841</v>
      </c>
    </row>
    <row r="69" spans="1:23" ht="15.75" thickBot="1" x14ac:dyDescent="0.3">
      <c r="A69" s="559"/>
      <c r="B69" s="551"/>
      <c r="C69" s="633" t="s">
        <v>531</v>
      </c>
      <c r="D69" s="634"/>
      <c r="E69" s="449" t="s">
        <v>532</v>
      </c>
      <c r="F69" s="450" t="s">
        <v>533</v>
      </c>
      <c r="G69" s="418">
        <v>4</v>
      </c>
      <c r="H69" s="419">
        <v>1800</v>
      </c>
      <c r="I69" s="451">
        <f t="shared" si="19"/>
        <v>7200</v>
      </c>
      <c r="J69" s="418">
        <v>2</v>
      </c>
      <c r="K69" s="452">
        <f t="shared" si="20"/>
        <v>3600</v>
      </c>
      <c r="L69" s="418">
        <v>0</v>
      </c>
      <c r="M69" s="452">
        <f t="shared" si="21"/>
        <v>0</v>
      </c>
      <c r="N69" s="418">
        <f t="shared" si="16"/>
        <v>2</v>
      </c>
      <c r="O69" s="453">
        <v>3150</v>
      </c>
      <c r="P69" s="453">
        <v>4500</v>
      </c>
      <c r="Q69" s="453">
        <f t="shared" si="22"/>
        <v>9000</v>
      </c>
      <c r="R69" s="453">
        <f t="shared" si="23"/>
        <v>-5850</v>
      </c>
      <c r="S69" s="424" t="s">
        <v>855</v>
      </c>
    </row>
    <row r="70" spans="1:23" ht="17.25" thickBot="1" x14ac:dyDescent="0.3">
      <c r="A70" s="112"/>
      <c r="B70" s="112"/>
      <c r="C70" s="112"/>
      <c r="D70" s="112"/>
      <c r="E70" s="124"/>
      <c r="F70" s="124" t="s">
        <v>534</v>
      </c>
      <c r="G70" s="124"/>
      <c r="H70" s="124"/>
      <c r="I70" s="430">
        <f>SUM(I64:I69)</f>
        <v>950931.92</v>
      </c>
      <c r="J70" s="124"/>
      <c r="K70" s="431">
        <f>SUM(K64:K69)</f>
        <v>3600</v>
      </c>
      <c r="L70" s="124"/>
      <c r="M70" s="431">
        <f>SUM(M64:M69)</f>
        <v>312657.52999999997</v>
      </c>
      <c r="N70" s="124"/>
      <c r="O70" s="432">
        <v>276725.33875</v>
      </c>
      <c r="P70" s="432">
        <f>SUM(P64:P69)</f>
        <v>386200</v>
      </c>
      <c r="Q70" s="432">
        <f t="shared" ref="Q70" si="24">SUM(Q64:Q69)</f>
        <v>402400</v>
      </c>
      <c r="R70" s="432">
        <f>SUM(R64:R69)</f>
        <v>-125674.66125</v>
      </c>
    </row>
    <row r="71" spans="1:23" ht="15.75" thickBot="1" x14ac:dyDescent="0.3">
      <c r="O71" s="60"/>
      <c r="P71" s="382"/>
      <c r="Q71" s="382"/>
      <c r="R71" s="382"/>
    </row>
    <row r="72" spans="1:23" ht="47.25" customHeight="1" thickBot="1" x14ac:dyDescent="0.3">
      <c r="B72" s="195"/>
      <c r="C72" s="195"/>
      <c r="D72" s="195"/>
      <c r="E72" s="413"/>
      <c r="F72" s="713" t="s">
        <v>535</v>
      </c>
      <c r="G72" s="714"/>
      <c r="H72" s="714"/>
      <c r="I72" s="714"/>
      <c r="J72" s="714"/>
      <c r="K72" s="714"/>
      <c r="L72" s="714"/>
      <c r="M72" s="714"/>
      <c r="N72" s="714"/>
      <c r="O72" s="715"/>
      <c r="P72" s="381"/>
      <c r="Q72" s="381"/>
      <c r="R72" s="393"/>
    </row>
    <row r="73" spans="1:23" ht="30.75" customHeight="1" thickBot="1" x14ac:dyDescent="0.3">
      <c r="A73" s="314" t="s">
        <v>228</v>
      </c>
      <c r="B73" s="610" t="s">
        <v>536</v>
      </c>
      <c r="C73" s="622"/>
      <c r="D73" s="622"/>
      <c r="E73" s="428"/>
      <c r="F73" s="439" t="s">
        <v>85</v>
      </c>
      <c r="G73" s="439" t="s">
        <v>229</v>
      </c>
      <c r="H73" s="439" t="s">
        <v>123</v>
      </c>
      <c r="I73" s="440" t="s">
        <v>230</v>
      </c>
      <c r="J73" s="439">
        <v>2021</v>
      </c>
      <c r="K73" s="439" t="s">
        <v>79</v>
      </c>
      <c r="L73" s="439">
        <v>2022</v>
      </c>
      <c r="M73" s="439" t="s">
        <v>79</v>
      </c>
      <c r="N73" s="439" t="s">
        <v>754</v>
      </c>
      <c r="O73" s="439" t="s">
        <v>79</v>
      </c>
      <c r="P73" s="439" t="s">
        <v>821</v>
      </c>
      <c r="Q73" s="439" t="s">
        <v>822</v>
      </c>
      <c r="R73" s="439" t="s">
        <v>825</v>
      </c>
      <c r="S73" s="439" t="s">
        <v>818</v>
      </c>
      <c r="T73" s="384" t="s">
        <v>819</v>
      </c>
      <c r="U73" s="384" t="s">
        <v>820</v>
      </c>
      <c r="W73" s="464" t="s">
        <v>860</v>
      </c>
    </row>
    <row r="74" spans="1:23" ht="30" x14ac:dyDescent="0.25">
      <c r="A74" s="558" t="s">
        <v>535</v>
      </c>
      <c r="B74" s="612"/>
      <c r="C74" s="623"/>
      <c r="D74" s="623"/>
      <c r="E74" s="449" t="s">
        <v>168</v>
      </c>
      <c r="F74" s="450" t="s">
        <v>169</v>
      </c>
      <c r="G74" s="418">
        <v>8</v>
      </c>
      <c r="H74" s="419">
        <f>'TABLA GENERAL'!D227</f>
        <v>90850</v>
      </c>
      <c r="I74" s="451">
        <f>H74*G74</f>
        <v>726800</v>
      </c>
      <c r="J74" s="418">
        <v>3</v>
      </c>
      <c r="K74" s="452">
        <f t="shared" ref="K74:K83" si="25">J74*H74</f>
        <v>272550</v>
      </c>
      <c r="L74" s="418">
        <v>2</v>
      </c>
      <c r="M74" s="452">
        <f t="shared" ref="M74:M83" si="26">L74*H74</f>
        <v>181700</v>
      </c>
      <c r="N74" s="418">
        <f t="shared" ref="N74:N104" si="27">+L74+J74</f>
        <v>5</v>
      </c>
      <c r="O74" s="453">
        <v>573442.23368581443</v>
      </c>
      <c r="P74" s="453">
        <f>280000/5</f>
        <v>56000</v>
      </c>
      <c r="Q74" s="453">
        <f>+P74*N74</f>
        <v>280000</v>
      </c>
      <c r="R74" s="453">
        <f t="shared" ref="R74" si="28">+O74-Q74</f>
        <v>293442.23368581443</v>
      </c>
      <c r="S74" s="424" t="s">
        <v>824</v>
      </c>
      <c r="V74" s="468">
        <f>+O74-Q74</f>
        <v>293442.23368581443</v>
      </c>
      <c r="W74" s="468">
        <f>+U99</f>
        <v>120064.33150461354</v>
      </c>
    </row>
    <row r="75" spans="1:23" ht="30.75" thickBot="1" x14ac:dyDescent="0.3">
      <c r="A75" s="559" t="s">
        <v>535</v>
      </c>
      <c r="B75" s="612"/>
      <c r="C75" s="623"/>
      <c r="D75" s="623"/>
      <c r="E75" s="441" t="s">
        <v>171</v>
      </c>
      <c r="F75" s="442" t="s">
        <v>172</v>
      </c>
      <c r="G75" s="443">
        <v>9</v>
      </c>
      <c r="H75" s="444">
        <f>'TABLA GENERAL'!D228</f>
        <v>4932</v>
      </c>
      <c r="I75" s="445">
        <f t="shared" ref="I75:I83" si="29">H75*G75</f>
        <v>44388</v>
      </c>
      <c r="J75" s="443">
        <v>3</v>
      </c>
      <c r="K75" s="446">
        <f t="shared" si="25"/>
        <v>14796</v>
      </c>
      <c r="L75" s="443">
        <v>4</v>
      </c>
      <c r="M75" s="446">
        <f t="shared" si="26"/>
        <v>19728</v>
      </c>
      <c r="N75" s="443">
        <f t="shared" ref="N75:N83" si="30">+L75+J75</f>
        <v>7</v>
      </c>
      <c r="O75" s="447">
        <v>43582.872153591765</v>
      </c>
      <c r="P75" s="716">
        <f>+(SUM(O75:O83)/7)*1.1</f>
        <v>13908.54629357585</v>
      </c>
      <c r="Q75" s="716">
        <f>+P75*N75</f>
        <v>97359.824055030942</v>
      </c>
      <c r="R75" s="716">
        <f>+Q75-(SUM(O75:O83))</f>
        <v>8850.893095911917</v>
      </c>
      <c r="S75" s="448" t="s">
        <v>846</v>
      </c>
    </row>
    <row r="76" spans="1:23" ht="23.25" customHeight="1" thickBot="1" x14ac:dyDescent="0.3">
      <c r="A76" s="559" t="s">
        <v>535</v>
      </c>
      <c r="B76" s="612"/>
      <c r="C76" s="623"/>
      <c r="D76" s="623"/>
      <c r="E76" s="429" t="s">
        <v>173</v>
      </c>
      <c r="F76" s="435" t="s">
        <v>174</v>
      </c>
      <c r="G76" s="399">
        <v>18</v>
      </c>
      <c r="H76" s="436">
        <f>'TABLA GENERAL'!D229</f>
        <v>92</v>
      </c>
      <c r="I76" s="437">
        <f t="shared" si="29"/>
        <v>1656</v>
      </c>
      <c r="J76" s="399">
        <v>6</v>
      </c>
      <c r="K76" s="438">
        <f t="shared" si="25"/>
        <v>552</v>
      </c>
      <c r="L76" s="399">
        <v>8</v>
      </c>
      <c r="M76" s="438">
        <f t="shared" si="26"/>
        <v>736</v>
      </c>
      <c r="N76" s="399">
        <f t="shared" si="30"/>
        <v>14</v>
      </c>
      <c r="O76" s="434">
        <v>1625.9627891850942</v>
      </c>
      <c r="P76" s="717"/>
      <c r="Q76" s="717"/>
      <c r="R76" s="717"/>
      <c r="S76" s="424" t="s">
        <v>845</v>
      </c>
    </row>
    <row r="77" spans="1:23" ht="23.25" customHeight="1" thickBot="1" x14ac:dyDescent="0.3">
      <c r="A77" s="559" t="s">
        <v>535</v>
      </c>
      <c r="B77" s="612"/>
      <c r="C77" s="623"/>
      <c r="D77" s="623"/>
      <c r="E77" s="429" t="s">
        <v>176</v>
      </c>
      <c r="F77" s="435" t="s">
        <v>177</v>
      </c>
      <c r="G77" s="399">
        <v>9</v>
      </c>
      <c r="H77" s="436">
        <f>'TABLA GENERAL'!D230</f>
        <v>65</v>
      </c>
      <c r="I77" s="437">
        <f t="shared" si="29"/>
        <v>585</v>
      </c>
      <c r="J77" s="399">
        <v>3</v>
      </c>
      <c r="K77" s="438">
        <f t="shared" si="25"/>
        <v>195</v>
      </c>
      <c r="L77" s="399">
        <v>4</v>
      </c>
      <c r="M77" s="438">
        <f t="shared" si="26"/>
        <v>260</v>
      </c>
      <c r="N77" s="399">
        <f t="shared" si="30"/>
        <v>7</v>
      </c>
      <c r="O77" s="434">
        <v>574.38902878821261</v>
      </c>
      <c r="P77" s="717"/>
      <c r="Q77" s="717"/>
      <c r="R77" s="717"/>
      <c r="S77" s="424" t="s">
        <v>845</v>
      </c>
    </row>
    <row r="78" spans="1:23" ht="23.25" customHeight="1" thickBot="1" x14ac:dyDescent="0.3">
      <c r="A78" s="559" t="s">
        <v>535</v>
      </c>
      <c r="B78" s="612"/>
      <c r="C78" s="623"/>
      <c r="D78" s="623"/>
      <c r="E78" s="429" t="s">
        <v>537</v>
      </c>
      <c r="F78" s="435" t="s">
        <v>538</v>
      </c>
      <c r="G78" s="399">
        <v>9</v>
      </c>
      <c r="H78" s="436">
        <f>'TABLA GENERAL'!D231</f>
        <v>2750</v>
      </c>
      <c r="I78" s="437">
        <f t="shared" si="29"/>
        <v>24750</v>
      </c>
      <c r="J78" s="399">
        <v>3</v>
      </c>
      <c r="K78" s="438">
        <f t="shared" si="25"/>
        <v>8250</v>
      </c>
      <c r="L78" s="399">
        <v>4</v>
      </c>
      <c r="M78" s="438">
        <f t="shared" si="26"/>
        <v>11000</v>
      </c>
      <c r="N78" s="399">
        <f t="shared" si="30"/>
        <v>7</v>
      </c>
      <c r="O78" s="434">
        <v>24301.074294885922</v>
      </c>
      <c r="P78" s="717"/>
      <c r="Q78" s="717"/>
      <c r="R78" s="717"/>
      <c r="S78" s="424" t="s">
        <v>845</v>
      </c>
    </row>
    <row r="79" spans="1:23" ht="30.75" thickBot="1" x14ac:dyDescent="0.3">
      <c r="A79" s="559" t="s">
        <v>535</v>
      </c>
      <c r="B79" s="612"/>
      <c r="C79" s="623"/>
      <c r="D79" s="623"/>
      <c r="E79" s="429" t="s">
        <v>539</v>
      </c>
      <c r="F79" s="435" t="s">
        <v>540</v>
      </c>
      <c r="G79" s="399">
        <v>9</v>
      </c>
      <c r="H79" s="436">
        <f>'TABLA GENERAL'!D232</f>
        <v>1240</v>
      </c>
      <c r="I79" s="437">
        <f t="shared" si="29"/>
        <v>11160</v>
      </c>
      <c r="J79" s="399">
        <v>3</v>
      </c>
      <c r="K79" s="438">
        <f t="shared" si="25"/>
        <v>3720</v>
      </c>
      <c r="L79" s="399">
        <v>4</v>
      </c>
      <c r="M79" s="438">
        <f t="shared" si="26"/>
        <v>4960</v>
      </c>
      <c r="N79" s="399">
        <f t="shared" si="30"/>
        <v>7</v>
      </c>
      <c r="O79" s="434">
        <v>10957.575318421286</v>
      </c>
      <c r="P79" s="717"/>
      <c r="Q79" s="717"/>
      <c r="R79" s="717"/>
      <c r="S79" s="424" t="s">
        <v>845</v>
      </c>
    </row>
    <row r="80" spans="1:23" ht="23.25" customHeight="1" thickBot="1" x14ac:dyDescent="0.3">
      <c r="A80" s="559" t="s">
        <v>535</v>
      </c>
      <c r="B80" s="612"/>
      <c r="C80" s="623"/>
      <c r="D80" s="623"/>
      <c r="E80" s="429" t="s">
        <v>541</v>
      </c>
      <c r="F80" s="435" t="s">
        <v>542</v>
      </c>
      <c r="G80" s="399">
        <v>9</v>
      </c>
      <c r="H80" s="436">
        <f>'TABLA GENERAL'!D233</f>
        <v>62</v>
      </c>
      <c r="I80" s="437">
        <f t="shared" si="29"/>
        <v>558</v>
      </c>
      <c r="J80" s="399">
        <v>3</v>
      </c>
      <c r="K80" s="438">
        <f t="shared" si="25"/>
        <v>186</v>
      </c>
      <c r="L80" s="399">
        <v>4</v>
      </c>
      <c r="M80" s="438">
        <f t="shared" si="26"/>
        <v>248</v>
      </c>
      <c r="N80" s="399">
        <f t="shared" si="30"/>
        <v>7</v>
      </c>
      <c r="O80" s="434">
        <v>547.87876592106443</v>
      </c>
      <c r="P80" s="717"/>
      <c r="Q80" s="717"/>
      <c r="R80" s="717"/>
      <c r="S80" s="424" t="s">
        <v>845</v>
      </c>
    </row>
    <row r="81" spans="1:21" ht="23.25" customHeight="1" thickBot="1" x14ac:dyDescent="0.3">
      <c r="A81" s="559" t="s">
        <v>535</v>
      </c>
      <c r="B81" s="612"/>
      <c r="C81" s="623"/>
      <c r="D81" s="623"/>
      <c r="E81" s="429" t="s">
        <v>543</v>
      </c>
      <c r="F81" s="435" t="s">
        <v>544</v>
      </c>
      <c r="G81" s="399">
        <v>9</v>
      </c>
      <c r="H81" s="436">
        <f>'TABLA GENERAL'!D234</f>
        <v>65</v>
      </c>
      <c r="I81" s="437">
        <f t="shared" si="29"/>
        <v>585</v>
      </c>
      <c r="J81" s="399">
        <v>3</v>
      </c>
      <c r="K81" s="438">
        <f t="shared" si="25"/>
        <v>195</v>
      </c>
      <c r="L81" s="399">
        <v>4</v>
      </c>
      <c r="M81" s="438">
        <f t="shared" si="26"/>
        <v>260</v>
      </c>
      <c r="N81" s="399">
        <f t="shared" si="30"/>
        <v>7</v>
      </c>
      <c r="O81" s="434">
        <v>574.38902878821261</v>
      </c>
      <c r="P81" s="717"/>
      <c r="Q81" s="717"/>
      <c r="R81" s="717"/>
      <c r="S81" s="424" t="s">
        <v>845</v>
      </c>
    </row>
    <row r="82" spans="1:21" ht="30.75" thickBot="1" x14ac:dyDescent="0.3">
      <c r="A82" s="559" t="s">
        <v>535</v>
      </c>
      <c r="B82" s="612"/>
      <c r="C82" s="623"/>
      <c r="D82" s="623"/>
      <c r="E82" s="429" t="s">
        <v>545</v>
      </c>
      <c r="F82" s="435" t="s">
        <v>546</v>
      </c>
      <c r="G82" s="399">
        <v>9</v>
      </c>
      <c r="H82" s="436">
        <f>'TABLA GENERAL'!D235</f>
        <v>500</v>
      </c>
      <c r="I82" s="437">
        <f t="shared" si="29"/>
        <v>4500</v>
      </c>
      <c r="J82" s="399">
        <v>3</v>
      </c>
      <c r="K82" s="438">
        <f t="shared" si="25"/>
        <v>1500</v>
      </c>
      <c r="L82" s="399">
        <v>4</v>
      </c>
      <c r="M82" s="438">
        <f t="shared" si="26"/>
        <v>2000</v>
      </c>
      <c r="N82" s="399">
        <f t="shared" si="30"/>
        <v>7</v>
      </c>
      <c r="O82" s="434">
        <v>4418.377144524713</v>
      </c>
      <c r="P82" s="717"/>
      <c r="Q82" s="717"/>
      <c r="R82" s="717"/>
      <c r="S82" s="424" t="s">
        <v>845</v>
      </c>
    </row>
    <row r="83" spans="1:21" ht="23.25" customHeight="1" thickBot="1" x14ac:dyDescent="0.3">
      <c r="A83" s="560" t="s">
        <v>535</v>
      </c>
      <c r="B83" s="126"/>
      <c r="C83" s="127"/>
      <c r="D83" s="127"/>
      <c r="E83" s="429" t="s">
        <v>547</v>
      </c>
      <c r="F83" s="435" t="s">
        <v>548</v>
      </c>
      <c r="G83" s="399">
        <v>9</v>
      </c>
      <c r="H83" s="436">
        <f>'TABLA GENERAL'!D236</f>
        <v>218</v>
      </c>
      <c r="I83" s="437">
        <f t="shared" si="29"/>
        <v>1962</v>
      </c>
      <c r="J83" s="399">
        <v>3</v>
      </c>
      <c r="K83" s="438">
        <f t="shared" si="25"/>
        <v>654</v>
      </c>
      <c r="L83" s="399">
        <v>4</v>
      </c>
      <c r="M83" s="438">
        <f t="shared" si="26"/>
        <v>872</v>
      </c>
      <c r="N83" s="399">
        <f t="shared" si="30"/>
        <v>7</v>
      </c>
      <c r="O83" s="434">
        <v>1926.4124350127745</v>
      </c>
      <c r="P83" s="717"/>
      <c r="Q83" s="717"/>
      <c r="R83" s="717"/>
      <c r="S83" s="424" t="s">
        <v>845</v>
      </c>
    </row>
    <row r="84" spans="1:21" ht="17.25" thickBot="1" x14ac:dyDescent="0.3">
      <c r="A84" s="112"/>
      <c r="B84" s="112"/>
      <c r="C84" s="112"/>
      <c r="D84" s="112"/>
      <c r="E84" s="112"/>
      <c r="F84" s="124" t="s">
        <v>549</v>
      </c>
      <c r="G84" s="124"/>
      <c r="H84" s="124"/>
      <c r="I84" s="430">
        <f>SUM(I74:I83)</f>
        <v>816944</v>
      </c>
      <c r="J84" s="124"/>
      <c r="K84" s="431">
        <f>SUM(K74:K83)</f>
        <v>302598</v>
      </c>
      <c r="L84" s="124"/>
      <c r="M84" s="431">
        <f>SUM(M74:M83)</f>
        <v>221764</v>
      </c>
      <c r="N84" s="124"/>
      <c r="O84" s="432">
        <v>661951.16464493354</v>
      </c>
      <c r="P84" s="432">
        <f>+P74+P75</f>
        <v>69908.546293575855</v>
      </c>
      <c r="Q84" s="432">
        <f>+Q74+Q75</f>
        <v>377359.82405503094</v>
      </c>
      <c r="R84" s="432">
        <f>+R74+R75</f>
        <v>302293.12678172637</v>
      </c>
    </row>
    <row r="85" spans="1:21" ht="15.75" thickBot="1" x14ac:dyDescent="0.3">
      <c r="O85" s="388"/>
      <c r="P85" s="382"/>
      <c r="Q85" s="382"/>
      <c r="R85" s="382"/>
    </row>
    <row r="86" spans="1:21" ht="21" customHeight="1" thickBot="1" x14ac:dyDescent="0.3">
      <c r="B86" s="195"/>
      <c r="C86" s="195"/>
      <c r="D86" s="195"/>
      <c r="E86" s="413"/>
      <c r="F86" s="617" t="s">
        <v>554</v>
      </c>
      <c r="G86" s="618"/>
      <c r="H86" s="618"/>
      <c r="I86" s="618"/>
      <c r="J86" s="618"/>
      <c r="K86" s="618"/>
      <c r="L86" s="618"/>
      <c r="M86" s="618"/>
      <c r="N86" s="618"/>
      <c r="O86" s="619"/>
      <c r="P86" s="381"/>
      <c r="Q86" s="381"/>
      <c r="R86" s="393"/>
    </row>
    <row r="87" spans="1:21" ht="50.25" customHeight="1" thickBot="1" x14ac:dyDescent="0.3">
      <c r="A87" s="314" t="s">
        <v>228</v>
      </c>
      <c r="B87" s="586" t="s">
        <v>555</v>
      </c>
      <c r="C87" s="587"/>
      <c r="D87" s="587"/>
      <c r="E87" s="130"/>
      <c r="F87" s="402" t="s">
        <v>85</v>
      </c>
      <c r="G87" s="314" t="s">
        <v>229</v>
      </c>
      <c r="H87" s="314" t="s">
        <v>123</v>
      </c>
      <c r="I87" s="113" t="s">
        <v>556</v>
      </c>
      <c r="J87" s="314">
        <v>2021</v>
      </c>
      <c r="K87" s="314" t="s">
        <v>79</v>
      </c>
      <c r="L87" s="314">
        <v>2022</v>
      </c>
      <c r="M87" s="314" t="s">
        <v>79</v>
      </c>
      <c r="N87" s="314" t="s">
        <v>754</v>
      </c>
      <c r="O87" s="314" t="s">
        <v>79</v>
      </c>
      <c r="P87" s="383" t="s">
        <v>821</v>
      </c>
      <c r="Q87" s="383" t="s">
        <v>822</v>
      </c>
      <c r="R87" s="401" t="s">
        <v>825</v>
      </c>
      <c r="S87" s="405" t="s">
        <v>818</v>
      </c>
      <c r="T87" s="384" t="s">
        <v>819</v>
      </c>
      <c r="U87" s="384" t="s">
        <v>820</v>
      </c>
    </row>
    <row r="88" spans="1:21" ht="38.25" customHeight="1" thickBot="1" x14ac:dyDescent="0.3">
      <c r="A88" s="553" t="s">
        <v>554</v>
      </c>
      <c r="B88" s="616"/>
      <c r="C88" s="624"/>
      <c r="D88" s="624"/>
      <c r="E88" s="426" t="s">
        <v>187</v>
      </c>
      <c r="F88" s="454" t="s">
        <v>188</v>
      </c>
      <c r="G88" s="422">
        <v>9</v>
      </c>
      <c r="H88" s="455">
        <f>'TABLA GENERAL'!D246</f>
        <v>2856</v>
      </c>
      <c r="I88" s="456">
        <f>+G88*H88</f>
        <v>25704</v>
      </c>
      <c r="J88" s="422">
        <v>0</v>
      </c>
      <c r="K88" s="421">
        <f t="shared" ref="K88:K98" si="31">J88*H88</f>
        <v>0</v>
      </c>
      <c r="L88" s="422">
        <v>4</v>
      </c>
      <c r="M88" s="421">
        <f t="shared" ref="M88:M98" si="32">L88*H88</f>
        <v>11424</v>
      </c>
      <c r="N88" s="422">
        <f t="shared" si="27"/>
        <v>4</v>
      </c>
      <c r="O88" s="423">
        <v>14421.582999728664</v>
      </c>
      <c r="P88" s="423">
        <v>3500</v>
      </c>
      <c r="Q88" s="423">
        <f t="shared" ref="Q88:Q98" si="33">+P88*N88</f>
        <v>14000</v>
      </c>
      <c r="R88" s="423">
        <f t="shared" ref="R88:R98" si="34">+O88-Q88</f>
        <v>421.58299972866371</v>
      </c>
      <c r="S88" s="425" t="s">
        <v>833</v>
      </c>
    </row>
    <row r="89" spans="1:21" ht="54.75" customHeight="1" thickBot="1" x14ac:dyDescent="0.3">
      <c r="A89" s="554"/>
      <c r="B89" s="616"/>
      <c r="C89" s="624"/>
      <c r="D89" s="624"/>
      <c r="E89" s="426" t="s">
        <v>557</v>
      </c>
      <c r="F89" s="417" t="s">
        <v>558</v>
      </c>
      <c r="G89" s="418">
        <v>9</v>
      </c>
      <c r="H89" s="455">
        <f>'TABLA GENERAL'!D247</f>
        <v>458.39</v>
      </c>
      <c r="I89" s="456">
        <f t="shared" ref="I89:I98" si="35">+G89*H89</f>
        <v>4125.51</v>
      </c>
      <c r="J89" s="422">
        <v>0</v>
      </c>
      <c r="K89" s="421">
        <f t="shared" si="31"/>
        <v>0</v>
      </c>
      <c r="L89" s="418">
        <v>4</v>
      </c>
      <c r="M89" s="421">
        <f t="shared" si="32"/>
        <v>1833.56</v>
      </c>
      <c r="N89" s="422">
        <f t="shared" ref="N89:N98" si="36">+L89+J89</f>
        <v>4</v>
      </c>
      <c r="O89" s="423">
        <v>2314.6741706042094</v>
      </c>
      <c r="P89" s="423">
        <v>350</v>
      </c>
      <c r="Q89" s="423">
        <f t="shared" si="33"/>
        <v>1400</v>
      </c>
      <c r="R89" s="423">
        <f t="shared" si="34"/>
        <v>914.67417060420939</v>
      </c>
      <c r="S89" s="425" t="s">
        <v>834</v>
      </c>
    </row>
    <row r="90" spans="1:21" ht="16.5" customHeight="1" thickBot="1" x14ac:dyDescent="0.3">
      <c r="A90" s="554"/>
      <c r="B90" s="616"/>
      <c r="C90" s="624"/>
      <c r="D90" s="624"/>
      <c r="E90" s="426" t="s">
        <v>559</v>
      </c>
      <c r="F90" s="417" t="s">
        <v>560</v>
      </c>
      <c r="G90" s="418">
        <v>9</v>
      </c>
      <c r="H90" s="455">
        <f>'TABLA GENERAL'!D248</f>
        <v>2562</v>
      </c>
      <c r="I90" s="456">
        <f t="shared" si="35"/>
        <v>23058</v>
      </c>
      <c r="J90" s="422">
        <v>0</v>
      </c>
      <c r="K90" s="421">
        <f t="shared" si="31"/>
        <v>0</v>
      </c>
      <c r="L90" s="418">
        <v>4</v>
      </c>
      <c r="M90" s="421">
        <f t="shared" si="32"/>
        <v>10248</v>
      </c>
      <c r="N90" s="422">
        <f t="shared" si="36"/>
        <v>4</v>
      </c>
      <c r="O90" s="423">
        <v>12937.00827916836</v>
      </c>
      <c r="P90" s="423">
        <v>1600</v>
      </c>
      <c r="Q90" s="423">
        <f t="shared" si="33"/>
        <v>6400</v>
      </c>
      <c r="R90" s="423">
        <f t="shared" si="34"/>
        <v>6537.0082791683599</v>
      </c>
      <c r="S90" s="424" t="s">
        <v>843</v>
      </c>
    </row>
    <row r="91" spans="1:21" ht="72" customHeight="1" thickBot="1" x14ac:dyDescent="0.3">
      <c r="A91" s="554"/>
      <c r="B91" s="616"/>
      <c r="C91" s="624"/>
      <c r="D91" s="624"/>
      <c r="E91" s="426" t="s">
        <v>190</v>
      </c>
      <c r="F91" s="417" t="s">
        <v>828</v>
      </c>
      <c r="G91" s="418">
        <v>5</v>
      </c>
      <c r="H91" s="455">
        <f>'TABLA GENERAL'!D249</f>
        <v>9040</v>
      </c>
      <c r="I91" s="456">
        <f t="shared" si="35"/>
        <v>45200</v>
      </c>
      <c r="J91" s="422">
        <v>0</v>
      </c>
      <c r="K91" s="421">
        <f t="shared" si="31"/>
        <v>0</v>
      </c>
      <c r="L91" s="418">
        <v>5</v>
      </c>
      <c r="M91" s="421">
        <f t="shared" si="32"/>
        <v>45200</v>
      </c>
      <c r="N91" s="422">
        <f t="shared" si="36"/>
        <v>5</v>
      </c>
      <c r="O91" s="423">
        <v>57060.184837862005</v>
      </c>
      <c r="P91" s="423">
        <v>22000</v>
      </c>
      <c r="Q91" s="423">
        <f t="shared" si="33"/>
        <v>110000</v>
      </c>
      <c r="R91" s="423">
        <f>+O97-Q91</f>
        <v>-103435.55395670614</v>
      </c>
      <c r="S91" s="425" t="s">
        <v>835</v>
      </c>
      <c r="T91" s="403" t="s">
        <v>826</v>
      </c>
      <c r="U91" s="391"/>
    </row>
    <row r="92" spans="1:21" ht="58.5" customHeight="1" thickBot="1" x14ac:dyDescent="0.3">
      <c r="A92" s="554"/>
      <c r="B92" s="616"/>
      <c r="C92" s="624"/>
      <c r="D92" s="624"/>
      <c r="E92" s="426" t="s">
        <v>561</v>
      </c>
      <c r="F92" s="417" t="s">
        <v>562</v>
      </c>
      <c r="G92" s="418">
        <v>9</v>
      </c>
      <c r="H92" s="455">
        <f>'TABLA GENERAL'!D250</f>
        <v>709</v>
      </c>
      <c r="I92" s="456">
        <f t="shared" si="35"/>
        <v>6381</v>
      </c>
      <c r="J92" s="422">
        <v>0</v>
      </c>
      <c r="K92" s="421">
        <f t="shared" si="31"/>
        <v>0</v>
      </c>
      <c r="L92" s="418">
        <v>4</v>
      </c>
      <c r="M92" s="421">
        <f t="shared" si="32"/>
        <v>2836</v>
      </c>
      <c r="N92" s="422">
        <f t="shared" si="36"/>
        <v>4</v>
      </c>
      <c r="O92" s="423">
        <v>3580.1478805348816</v>
      </c>
      <c r="P92" s="423">
        <v>900</v>
      </c>
      <c r="Q92" s="423">
        <f t="shared" si="33"/>
        <v>3600</v>
      </c>
      <c r="R92" s="423">
        <f t="shared" si="34"/>
        <v>-19.852119465118449</v>
      </c>
      <c r="S92" s="425" t="s">
        <v>842</v>
      </c>
      <c r="T92" s="403"/>
    </row>
    <row r="93" spans="1:21" ht="30.75" thickBot="1" x14ac:dyDescent="0.3">
      <c r="A93" s="554"/>
      <c r="B93" s="616"/>
      <c r="C93" s="624"/>
      <c r="D93" s="624"/>
      <c r="E93" s="426" t="s">
        <v>563</v>
      </c>
      <c r="F93" s="417" t="s">
        <v>564</v>
      </c>
      <c r="G93" s="418">
        <v>9</v>
      </c>
      <c r="H93" s="455">
        <f>'TABLA GENERAL'!D251</f>
        <v>164</v>
      </c>
      <c r="I93" s="456">
        <f t="shared" si="35"/>
        <v>1476</v>
      </c>
      <c r="J93" s="422">
        <v>0</v>
      </c>
      <c r="K93" s="421">
        <f t="shared" si="31"/>
        <v>0</v>
      </c>
      <c r="L93" s="418">
        <v>4</v>
      </c>
      <c r="M93" s="421">
        <f t="shared" si="32"/>
        <v>656</v>
      </c>
      <c r="N93" s="422">
        <f t="shared" si="36"/>
        <v>4</v>
      </c>
      <c r="O93" s="423">
        <v>828.13011623091768</v>
      </c>
      <c r="P93" s="423">
        <v>300</v>
      </c>
      <c r="Q93" s="423">
        <f t="shared" si="33"/>
        <v>1200</v>
      </c>
      <c r="R93" s="423">
        <f t="shared" si="34"/>
        <v>-371.86988376908232</v>
      </c>
      <c r="S93" s="424" t="s">
        <v>840</v>
      </c>
    </row>
    <row r="94" spans="1:21" ht="16.5" customHeight="1" thickBot="1" x14ac:dyDescent="0.3">
      <c r="A94" s="554"/>
      <c r="B94" s="616"/>
      <c r="C94" s="624"/>
      <c r="D94" s="624"/>
      <c r="E94" s="426" t="s">
        <v>192</v>
      </c>
      <c r="F94" s="417" t="s">
        <v>193</v>
      </c>
      <c r="G94" s="418">
        <v>1</v>
      </c>
      <c r="H94" s="455">
        <f>'TABLA GENERAL'!D252</f>
        <v>12000</v>
      </c>
      <c r="I94" s="456">
        <f t="shared" si="35"/>
        <v>12000</v>
      </c>
      <c r="J94" s="422">
        <v>0</v>
      </c>
      <c r="K94" s="421">
        <f t="shared" si="31"/>
        <v>0</v>
      </c>
      <c r="L94" s="418">
        <v>1</v>
      </c>
      <c r="M94" s="421">
        <f t="shared" si="32"/>
        <v>12000</v>
      </c>
      <c r="N94" s="422">
        <f t="shared" si="36"/>
        <v>1</v>
      </c>
      <c r="O94" s="423">
        <v>15148.721638370444</v>
      </c>
      <c r="P94" s="423">
        <v>16000</v>
      </c>
      <c r="Q94" s="423">
        <f t="shared" si="33"/>
        <v>16000</v>
      </c>
      <c r="R94" s="423">
        <f t="shared" si="34"/>
        <v>-851.27836162955646</v>
      </c>
      <c r="S94" s="424" t="s">
        <v>838</v>
      </c>
    </row>
    <row r="95" spans="1:21" ht="16.5" customHeight="1" thickBot="1" x14ac:dyDescent="0.3">
      <c r="A95" s="554"/>
      <c r="B95" s="616"/>
      <c r="C95" s="624"/>
      <c r="D95" s="624"/>
      <c r="E95" s="426" t="s">
        <v>565</v>
      </c>
      <c r="F95" s="417" t="s">
        <v>566</v>
      </c>
      <c r="G95" s="418">
        <v>23</v>
      </c>
      <c r="H95" s="455">
        <f>'TABLA GENERAL'!D253</f>
        <v>70</v>
      </c>
      <c r="I95" s="456">
        <f t="shared" si="35"/>
        <v>1610</v>
      </c>
      <c r="J95" s="422">
        <v>0</v>
      </c>
      <c r="K95" s="421">
        <f t="shared" si="31"/>
        <v>0</v>
      </c>
      <c r="L95" s="418">
        <v>10</v>
      </c>
      <c r="M95" s="421">
        <f t="shared" si="32"/>
        <v>700</v>
      </c>
      <c r="N95" s="422">
        <f t="shared" si="36"/>
        <v>10</v>
      </c>
      <c r="O95" s="423">
        <v>883.67542890494258</v>
      </c>
      <c r="P95" s="423">
        <v>100</v>
      </c>
      <c r="Q95" s="423">
        <f t="shared" si="33"/>
        <v>1000</v>
      </c>
      <c r="R95" s="423">
        <f t="shared" si="34"/>
        <v>-116.32457109505742</v>
      </c>
      <c r="S95" s="424" t="s">
        <v>839</v>
      </c>
    </row>
    <row r="96" spans="1:21" ht="16.5" customHeight="1" thickBot="1" x14ac:dyDescent="0.3">
      <c r="A96" s="554"/>
      <c r="B96" s="616"/>
      <c r="C96" s="624"/>
      <c r="D96" s="624"/>
      <c r="E96" s="426" t="s">
        <v>567</v>
      </c>
      <c r="F96" s="417" t="s">
        <v>568</v>
      </c>
      <c r="G96" s="418">
        <v>7</v>
      </c>
      <c r="H96" s="455">
        <f>'TABLA GENERAL'!D254</f>
        <v>2900</v>
      </c>
      <c r="I96" s="456">
        <f t="shared" si="35"/>
        <v>20300</v>
      </c>
      <c r="J96" s="422">
        <v>0</v>
      </c>
      <c r="K96" s="421">
        <f t="shared" si="31"/>
        <v>0</v>
      </c>
      <c r="L96" s="418">
        <v>7</v>
      </c>
      <c r="M96" s="421">
        <f t="shared" si="32"/>
        <v>20300</v>
      </c>
      <c r="N96" s="422">
        <f t="shared" si="36"/>
        <v>7</v>
      </c>
      <c r="O96" s="423">
        <v>25626.587438243336</v>
      </c>
      <c r="P96" s="423">
        <v>2500</v>
      </c>
      <c r="Q96" s="423">
        <f t="shared" si="33"/>
        <v>17500</v>
      </c>
      <c r="R96" s="423">
        <f t="shared" si="34"/>
        <v>8126.5874382433358</v>
      </c>
      <c r="S96" s="424" t="s">
        <v>839</v>
      </c>
    </row>
    <row r="97" spans="1:21" ht="59.25" customHeight="1" thickBot="1" x14ac:dyDescent="0.3">
      <c r="A97" s="554"/>
      <c r="B97" s="616"/>
      <c r="C97" s="624"/>
      <c r="D97" s="624"/>
      <c r="E97" s="426" t="s">
        <v>194</v>
      </c>
      <c r="F97" s="417" t="s">
        <v>195</v>
      </c>
      <c r="G97" s="418">
        <v>10</v>
      </c>
      <c r="H97" s="455">
        <f>'TABLA GENERAL'!D255</f>
        <v>1300</v>
      </c>
      <c r="I97" s="456">
        <f t="shared" si="35"/>
        <v>13000</v>
      </c>
      <c r="J97" s="422">
        <v>4</v>
      </c>
      <c r="K97" s="421">
        <f t="shared" si="31"/>
        <v>5200</v>
      </c>
      <c r="L97" s="418">
        <v>0</v>
      </c>
      <c r="M97" s="421">
        <f t="shared" si="32"/>
        <v>0</v>
      </c>
      <c r="N97" s="422">
        <f t="shared" si="36"/>
        <v>4</v>
      </c>
      <c r="O97" s="423">
        <v>6564.4460432938595</v>
      </c>
      <c r="P97" s="423">
        <v>22000</v>
      </c>
      <c r="Q97" s="423">
        <f t="shared" si="33"/>
        <v>88000</v>
      </c>
      <c r="R97" s="423">
        <f t="shared" si="34"/>
        <v>-81435.553956706135</v>
      </c>
      <c r="S97" s="425" t="s">
        <v>858</v>
      </c>
      <c r="T97" s="391" t="s">
        <v>826</v>
      </c>
    </row>
    <row r="98" spans="1:21" ht="30.75" thickBot="1" x14ac:dyDescent="0.3">
      <c r="A98" s="561"/>
      <c r="B98" s="589"/>
      <c r="C98" s="590"/>
      <c r="D98" s="590"/>
      <c r="E98" s="426" t="s">
        <v>569</v>
      </c>
      <c r="F98" s="457" t="s">
        <v>570</v>
      </c>
      <c r="G98" s="458">
        <v>10</v>
      </c>
      <c r="H98" s="455">
        <f>'TABLA GENERAL'!D256</f>
        <v>212</v>
      </c>
      <c r="I98" s="456">
        <f t="shared" si="35"/>
        <v>2120</v>
      </c>
      <c r="J98" s="422">
        <v>4</v>
      </c>
      <c r="K98" s="421">
        <f t="shared" si="31"/>
        <v>848</v>
      </c>
      <c r="L98" s="458">
        <v>0</v>
      </c>
      <c r="M98" s="421">
        <f t="shared" si="32"/>
        <v>0</v>
      </c>
      <c r="N98" s="422">
        <f t="shared" si="36"/>
        <v>4</v>
      </c>
      <c r="O98" s="423">
        <v>1070.5096624448447</v>
      </c>
      <c r="P98" s="423">
        <v>350</v>
      </c>
      <c r="Q98" s="423">
        <f t="shared" si="33"/>
        <v>1400</v>
      </c>
      <c r="R98" s="423">
        <f t="shared" si="34"/>
        <v>-329.49033755515529</v>
      </c>
      <c r="S98" s="424" t="s">
        <v>840</v>
      </c>
    </row>
    <row r="99" spans="1:21" ht="17.25" thickBot="1" x14ac:dyDescent="0.3">
      <c r="A99" s="112"/>
      <c r="B99" s="112"/>
      <c r="C99" s="112"/>
      <c r="D99" s="112"/>
      <c r="E99" s="112"/>
      <c r="F99" s="112" t="s">
        <v>571</v>
      </c>
      <c r="G99" s="112"/>
      <c r="H99" s="112"/>
      <c r="I99" s="118">
        <f>SUM(I88:I98)</f>
        <v>154974.51</v>
      </c>
      <c r="J99" s="112"/>
      <c r="K99" s="119">
        <f>SUM(K88:K98)</f>
        <v>6048</v>
      </c>
      <c r="L99" s="112"/>
      <c r="M99" s="119">
        <f>SUM(M88:M98)</f>
        <v>105197.56</v>
      </c>
      <c r="N99" s="112"/>
      <c r="O99" s="389">
        <v>140435.66849538646</v>
      </c>
      <c r="P99" s="392">
        <f>SUM(P88:P98)</f>
        <v>69600</v>
      </c>
      <c r="Q99" s="392">
        <f t="shared" ref="Q99:R99" si="37">SUM(Q88:Q98)</f>
        <v>260500</v>
      </c>
      <c r="R99" s="392">
        <f t="shared" si="37"/>
        <v>-170560.07029918165</v>
      </c>
      <c r="U99" s="468">
        <f>+Q99-O99</f>
        <v>120064.33150461354</v>
      </c>
    </row>
    <row r="100" spans="1:21" ht="15.75" thickBot="1" x14ac:dyDescent="0.3">
      <c r="O100" s="60"/>
      <c r="P100" s="382"/>
      <c r="Q100" s="382"/>
      <c r="R100" s="382"/>
    </row>
    <row r="101" spans="1:21" ht="47.25" customHeight="1" thickBot="1" x14ac:dyDescent="0.3">
      <c r="B101" s="195"/>
      <c r="C101" s="195"/>
      <c r="D101" s="195"/>
      <c r="E101" s="413"/>
      <c r="F101" s="617" t="s">
        <v>572</v>
      </c>
      <c r="G101" s="618"/>
      <c r="H101" s="618"/>
      <c r="I101" s="618"/>
      <c r="J101" s="618"/>
      <c r="K101" s="618"/>
      <c r="L101" s="618"/>
      <c r="M101" s="618"/>
      <c r="N101" s="618"/>
      <c r="O101" s="619"/>
      <c r="P101" s="381"/>
      <c r="Q101" s="381"/>
      <c r="R101" s="393"/>
    </row>
    <row r="102" spans="1:21" ht="50.25" customHeight="1" thickBot="1" x14ac:dyDescent="0.3">
      <c r="A102" s="314" t="s">
        <v>228</v>
      </c>
      <c r="B102" s="597" t="s">
        <v>573</v>
      </c>
      <c r="C102" s="555"/>
      <c r="D102" s="555"/>
      <c r="E102" s="131"/>
      <c r="F102" s="402" t="s">
        <v>85</v>
      </c>
      <c r="G102" s="314" t="s">
        <v>229</v>
      </c>
      <c r="H102" s="314" t="s">
        <v>123</v>
      </c>
      <c r="I102" s="113" t="s">
        <v>230</v>
      </c>
      <c r="J102" s="314">
        <v>2021</v>
      </c>
      <c r="K102" s="314" t="s">
        <v>79</v>
      </c>
      <c r="L102" s="314">
        <v>2022</v>
      </c>
      <c r="M102" s="314" t="s">
        <v>79</v>
      </c>
      <c r="N102" s="314" t="s">
        <v>754</v>
      </c>
      <c r="O102" s="314" t="s">
        <v>79</v>
      </c>
      <c r="P102" s="383" t="s">
        <v>821</v>
      </c>
      <c r="Q102" s="383" t="s">
        <v>822</v>
      </c>
      <c r="R102" s="404" t="s">
        <v>825</v>
      </c>
      <c r="S102" s="405" t="s">
        <v>818</v>
      </c>
      <c r="T102" s="384" t="s">
        <v>819</v>
      </c>
      <c r="U102" s="384" t="s">
        <v>820</v>
      </c>
    </row>
    <row r="103" spans="1:21" ht="16.5" customHeight="1" thickBot="1" x14ac:dyDescent="0.3">
      <c r="A103" s="563"/>
      <c r="B103" s="604"/>
      <c r="C103" s="605"/>
      <c r="D103" s="605"/>
      <c r="E103" s="415" t="s">
        <v>198</v>
      </c>
      <c r="F103" s="462" t="s">
        <v>199</v>
      </c>
      <c r="G103" s="15">
        <v>5</v>
      </c>
      <c r="H103" s="72">
        <f>'TABLA GENERAL'!D263</f>
        <v>24460</v>
      </c>
      <c r="I103" s="114">
        <f t="shared" ref="I103:I104" si="38">+H103*G103</f>
        <v>122300</v>
      </c>
      <c r="J103" s="15">
        <v>4</v>
      </c>
      <c r="K103" s="60">
        <f>J103*H103</f>
        <v>97840</v>
      </c>
      <c r="L103" s="15">
        <v>0</v>
      </c>
      <c r="M103" s="60">
        <f t="shared" ref="M103:M104" si="39">L103*H103</f>
        <v>0</v>
      </c>
      <c r="N103" s="422">
        <f t="shared" si="27"/>
        <v>4</v>
      </c>
      <c r="O103" s="423">
        <v>85609.999999999985</v>
      </c>
      <c r="P103" s="423"/>
      <c r="Q103" s="423"/>
      <c r="R103" s="423"/>
      <c r="S103" s="424" t="s">
        <v>830</v>
      </c>
    </row>
    <row r="104" spans="1:21" ht="16.5" customHeight="1" thickBot="1" x14ac:dyDescent="0.3">
      <c r="A104" s="564"/>
      <c r="B104" s="607"/>
      <c r="C104" s="608"/>
      <c r="D104" s="608"/>
      <c r="E104" s="415" t="s">
        <v>200</v>
      </c>
      <c r="F104" s="411" t="s">
        <v>201</v>
      </c>
      <c r="G104" s="51">
        <v>2</v>
      </c>
      <c r="H104" s="72">
        <f>'TABLA GENERAL'!D264</f>
        <v>2493</v>
      </c>
      <c r="I104" s="114">
        <f t="shared" si="38"/>
        <v>4986</v>
      </c>
      <c r="J104" s="51">
        <v>1</v>
      </c>
      <c r="K104" s="60">
        <f t="shared" ref="K104" si="40">J104*H104</f>
        <v>2493</v>
      </c>
      <c r="L104" s="51">
        <v>0</v>
      </c>
      <c r="M104" s="60">
        <f t="shared" si="39"/>
        <v>0</v>
      </c>
      <c r="N104" s="422">
        <f t="shared" si="27"/>
        <v>1</v>
      </c>
      <c r="O104" s="423">
        <v>2181.3749999999995</v>
      </c>
      <c r="P104" s="423"/>
      <c r="Q104" s="423"/>
      <c r="R104" s="423"/>
      <c r="S104" s="424" t="s">
        <v>844</v>
      </c>
    </row>
    <row r="105" spans="1:21" ht="17.25" thickBot="1" x14ac:dyDescent="0.3">
      <c r="A105" s="112"/>
      <c r="B105" s="112"/>
      <c r="C105" s="112"/>
      <c r="D105" s="112"/>
      <c r="E105" s="112"/>
      <c r="F105" s="112" t="s">
        <v>574</v>
      </c>
      <c r="G105" s="112"/>
      <c r="H105" s="112"/>
      <c r="I105" s="118">
        <f>SUM(I103:I104)</f>
        <v>127286</v>
      </c>
      <c r="J105" s="112"/>
      <c r="K105" s="119">
        <f>SUM(K103:K104)</f>
        <v>100333</v>
      </c>
      <c r="L105" s="112"/>
      <c r="M105" s="119">
        <f>SUM(M103:M104)</f>
        <v>0</v>
      </c>
      <c r="N105" s="112"/>
      <c r="O105" s="390">
        <v>87791.374999999985</v>
      </c>
      <c r="P105" s="392"/>
      <c r="Q105" s="392"/>
      <c r="R105" s="392"/>
    </row>
    <row r="106" spans="1:21" ht="15.75" thickBot="1" x14ac:dyDescent="0.3">
      <c r="O106" s="315"/>
      <c r="P106" s="382"/>
      <c r="Q106" s="382"/>
      <c r="R106" s="382"/>
    </row>
    <row r="107" spans="1:21" ht="47.25" customHeight="1" thickBot="1" x14ac:dyDescent="0.3">
      <c r="B107" s="620"/>
      <c r="C107" s="620"/>
      <c r="D107" s="620"/>
      <c r="E107" s="621"/>
      <c r="F107" s="617" t="s">
        <v>586</v>
      </c>
      <c r="G107" s="618"/>
      <c r="H107" s="618"/>
      <c r="I107" s="618"/>
      <c r="J107" s="618"/>
      <c r="K107" s="618"/>
      <c r="L107" s="618"/>
      <c r="M107" s="618"/>
      <c r="N107" s="618"/>
      <c r="O107" s="619"/>
      <c r="P107" s="381"/>
      <c r="Q107" s="381"/>
      <c r="R107" s="393"/>
    </row>
    <row r="108" spans="1:21" ht="79.5" customHeight="1" thickBot="1" x14ac:dyDescent="0.3">
      <c r="A108" s="314" t="s">
        <v>228</v>
      </c>
      <c r="B108" s="597" t="s">
        <v>587</v>
      </c>
      <c r="C108" s="555"/>
      <c r="D108" s="598"/>
      <c r="E108" s="402"/>
      <c r="F108" s="402" t="s">
        <v>85</v>
      </c>
      <c r="G108" s="314" t="s">
        <v>229</v>
      </c>
      <c r="H108" s="314" t="s">
        <v>123</v>
      </c>
      <c r="I108" s="113" t="s">
        <v>230</v>
      </c>
      <c r="J108" s="314">
        <v>2021</v>
      </c>
      <c r="K108" s="314" t="s">
        <v>79</v>
      </c>
      <c r="L108" s="314">
        <v>2022</v>
      </c>
      <c r="M108" s="314" t="s">
        <v>79</v>
      </c>
      <c r="N108" s="314" t="s">
        <v>754</v>
      </c>
      <c r="O108" s="314" t="s">
        <v>79</v>
      </c>
      <c r="P108" s="383" t="s">
        <v>821</v>
      </c>
      <c r="Q108" s="383" t="s">
        <v>822</v>
      </c>
      <c r="R108" s="404" t="s">
        <v>825</v>
      </c>
      <c r="S108" s="405" t="s">
        <v>818</v>
      </c>
      <c r="T108" s="384" t="s">
        <v>819</v>
      </c>
      <c r="U108" s="384" t="s">
        <v>820</v>
      </c>
    </row>
    <row r="109" spans="1:21" ht="15.75" thickBot="1" x14ac:dyDescent="0.3">
      <c r="A109" s="566"/>
      <c r="B109" s="604"/>
      <c r="C109" s="605"/>
      <c r="D109" s="606"/>
      <c r="E109" s="415" t="s">
        <v>215</v>
      </c>
      <c r="F109" s="417" t="s">
        <v>216</v>
      </c>
      <c r="G109" s="418">
        <v>1</v>
      </c>
      <c r="H109" s="455">
        <f>'TABLA GENERAL'!D289</f>
        <v>3058</v>
      </c>
      <c r="I109" s="456">
        <f t="shared" ref="I109:I111" si="41">H109*G109</f>
        <v>3058</v>
      </c>
      <c r="J109" s="418">
        <v>1</v>
      </c>
      <c r="K109" s="421">
        <f t="shared" ref="K109:K111" si="42">J109*H109</f>
        <v>3058</v>
      </c>
      <c r="L109" s="422">
        <v>0</v>
      </c>
      <c r="M109" s="421">
        <f t="shared" ref="M109:M111" si="43">L109*H109</f>
        <v>0</v>
      </c>
      <c r="N109" s="463">
        <f t="shared" ref="N109:N111" si="44">+L109+J109</f>
        <v>1</v>
      </c>
      <c r="O109" s="423">
        <v>2675.7499999999995</v>
      </c>
      <c r="P109" s="423"/>
      <c r="Q109" s="423"/>
      <c r="R109" s="423"/>
      <c r="S109" s="424" t="s">
        <v>836</v>
      </c>
    </row>
    <row r="110" spans="1:21" ht="15.75" thickBot="1" x14ac:dyDescent="0.3">
      <c r="A110" s="566"/>
      <c r="B110" s="604"/>
      <c r="C110" s="605"/>
      <c r="D110" s="606"/>
      <c r="E110" s="415" t="s">
        <v>217</v>
      </c>
      <c r="F110" s="417" t="s">
        <v>218</v>
      </c>
      <c r="G110" s="418">
        <v>4</v>
      </c>
      <c r="H110" s="455">
        <f>'TABLA GENERAL'!D290</f>
        <v>2880</v>
      </c>
      <c r="I110" s="456">
        <f t="shared" si="41"/>
        <v>11520</v>
      </c>
      <c r="J110" s="418">
        <v>4</v>
      </c>
      <c r="K110" s="421">
        <f t="shared" si="42"/>
        <v>11520</v>
      </c>
      <c r="L110" s="422">
        <v>0</v>
      </c>
      <c r="M110" s="421">
        <f t="shared" si="43"/>
        <v>0</v>
      </c>
      <c r="N110" s="463">
        <f t="shared" si="44"/>
        <v>4</v>
      </c>
      <c r="O110" s="423">
        <v>10079.999999999998</v>
      </c>
      <c r="P110" s="423"/>
      <c r="Q110" s="423"/>
      <c r="R110" s="423"/>
      <c r="S110" s="424" t="s">
        <v>837</v>
      </c>
    </row>
    <row r="111" spans="1:21" ht="15.75" thickBot="1" x14ac:dyDescent="0.3">
      <c r="A111" s="567"/>
      <c r="B111" s="607"/>
      <c r="C111" s="608"/>
      <c r="D111" s="609"/>
      <c r="E111" s="415" t="s">
        <v>221</v>
      </c>
      <c r="F111" s="457" t="s">
        <v>222</v>
      </c>
      <c r="G111" s="458">
        <v>1</v>
      </c>
      <c r="H111" s="455">
        <f>'TABLA GENERAL'!D292</f>
        <v>43500</v>
      </c>
      <c r="I111" s="456">
        <f t="shared" si="41"/>
        <v>43500</v>
      </c>
      <c r="J111" s="458">
        <v>1</v>
      </c>
      <c r="K111" s="421">
        <f t="shared" si="42"/>
        <v>43500</v>
      </c>
      <c r="L111" s="422">
        <v>0</v>
      </c>
      <c r="M111" s="421">
        <f t="shared" si="43"/>
        <v>0</v>
      </c>
      <c r="N111" s="463">
        <f t="shared" si="44"/>
        <v>1</v>
      </c>
      <c r="O111" s="423">
        <v>38062.499999999993</v>
      </c>
      <c r="P111" s="423"/>
      <c r="Q111" s="423"/>
      <c r="R111" s="423"/>
      <c r="S111" s="424" t="s">
        <v>856</v>
      </c>
    </row>
    <row r="112" spans="1:21" ht="17.25" thickBot="1" x14ac:dyDescent="0.3">
      <c r="A112" s="112"/>
      <c r="B112" s="112"/>
      <c r="C112" s="112"/>
      <c r="D112" s="112"/>
      <c r="E112" s="112"/>
      <c r="F112" s="112" t="s">
        <v>588</v>
      </c>
      <c r="G112" s="112"/>
      <c r="H112" s="112"/>
      <c r="I112" s="118">
        <f>SUM(I109:I111)</f>
        <v>58078</v>
      </c>
      <c r="J112" s="112"/>
      <c r="K112" s="119">
        <f>SUM(K109:K111)</f>
        <v>58078</v>
      </c>
      <c r="L112" s="112"/>
      <c r="M112" s="119">
        <f>SUM(M109:M111)</f>
        <v>0</v>
      </c>
      <c r="N112" s="112"/>
      <c r="O112" s="392">
        <v>50818.249999999993</v>
      </c>
      <c r="P112" s="392"/>
      <c r="Q112" s="392"/>
      <c r="R112" s="392"/>
    </row>
    <row r="113" spans="1:22" ht="15.75" thickBot="1" x14ac:dyDescent="0.3">
      <c r="O113" s="60"/>
      <c r="P113" s="382"/>
      <c r="Q113" s="382"/>
      <c r="R113" s="382"/>
    </row>
    <row r="114" spans="1:22" ht="60" customHeight="1" thickBot="1" x14ac:dyDescent="0.3">
      <c r="A114" s="586" t="s">
        <v>589</v>
      </c>
      <c r="B114" s="587"/>
      <c r="C114" s="587"/>
      <c r="D114" s="587"/>
      <c r="E114" s="587"/>
      <c r="F114" s="588"/>
      <c r="G114" s="592" t="s">
        <v>230</v>
      </c>
      <c r="H114" s="593"/>
      <c r="I114" s="594"/>
      <c r="J114" s="595">
        <v>2021</v>
      </c>
      <c r="K114" s="596"/>
      <c r="L114" s="595">
        <v>2022</v>
      </c>
      <c r="M114" s="596"/>
      <c r="N114" s="314" t="s">
        <v>754</v>
      </c>
      <c r="O114" s="314" t="s">
        <v>79</v>
      </c>
      <c r="P114" s="383" t="s">
        <v>821</v>
      </c>
      <c r="Q114" s="383" t="s">
        <v>822</v>
      </c>
      <c r="R114" s="383" t="s">
        <v>825</v>
      </c>
      <c r="T114" s="391"/>
      <c r="U114" s="391"/>
      <c r="V114" s="391"/>
    </row>
    <row r="115" spans="1:22" ht="33" customHeight="1" thickBot="1" x14ac:dyDescent="0.3">
      <c r="A115" s="589"/>
      <c r="B115" s="590"/>
      <c r="C115" s="590"/>
      <c r="D115" s="590"/>
      <c r="E115" s="590"/>
      <c r="F115" s="591"/>
      <c r="G115" s="599"/>
      <c r="H115" s="600"/>
      <c r="I115" s="133"/>
      <c r="J115" s="599">
        <v>2550000</v>
      </c>
      <c r="K115" s="601"/>
      <c r="L115" s="599">
        <v>2500000</v>
      </c>
      <c r="M115" s="601"/>
      <c r="N115" s="710">
        <f>+O112+O105+O99+O84+O70+O60+O49+O37</f>
        <v>5050000.0420271195</v>
      </c>
      <c r="O115" s="711"/>
      <c r="P115" s="392">
        <f>+P112+P105+P99+P84+P70+P60+P49+P37</f>
        <v>525708.54629357578</v>
      </c>
      <c r="Q115" s="392">
        <f t="shared" ref="Q115:R115" si="45">+Q112+Q105+Q99+Q84+Q70+Q60+Q49+Q37</f>
        <v>1234243.8240550309</v>
      </c>
      <c r="R115" s="392">
        <f t="shared" si="45"/>
        <v>6058.3952325447171</v>
      </c>
    </row>
    <row r="116" spans="1:22" ht="15.75" thickBot="1" x14ac:dyDescent="0.3">
      <c r="I116"/>
      <c r="K116" s="14"/>
      <c r="M116" s="14"/>
      <c r="O116" s="60"/>
      <c r="P116" s="382"/>
      <c r="Q116" s="382"/>
      <c r="R116" s="382"/>
    </row>
    <row r="117" spans="1:22" x14ac:dyDescent="0.25">
      <c r="I117"/>
      <c r="K117" s="14"/>
      <c r="M117" s="14"/>
      <c r="O117" s="60"/>
      <c r="P117" s="382"/>
      <c r="Q117" s="382"/>
      <c r="R117" s="382"/>
    </row>
    <row r="119" spans="1:22" x14ac:dyDescent="0.25">
      <c r="I119"/>
    </row>
  </sheetData>
  <mergeCells count="54">
    <mergeCell ref="S64:S67"/>
    <mergeCell ref="F107:O107"/>
    <mergeCell ref="F86:O86"/>
    <mergeCell ref="F72:O72"/>
    <mergeCell ref="F62:O62"/>
    <mergeCell ref="P75:P83"/>
    <mergeCell ref="R75:R83"/>
    <mergeCell ref="F101:O101"/>
    <mergeCell ref="Q75:Q83"/>
    <mergeCell ref="B107:E107"/>
    <mergeCell ref="B108:D111"/>
    <mergeCell ref="A53:A59"/>
    <mergeCell ref="B53:B59"/>
    <mergeCell ref="C53:D58"/>
    <mergeCell ref="C59:D59"/>
    <mergeCell ref="B87:D98"/>
    <mergeCell ref="A88:A98"/>
    <mergeCell ref="A109:A111"/>
    <mergeCell ref="B102:D104"/>
    <mergeCell ref="A103:A104"/>
    <mergeCell ref="G115:H115"/>
    <mergeCell ref="J115:K115"/>
    <mergeCell ref="L115:M115"/>
    <mergeCell ref="N115:O115"/>
    <mergeCell ref="A114:F115"/>
    <mergeCell ref="G114:I114"/>
    <mergeCell ref="J114:K114"/>
    <mergeCell ref="L114:M114"/>
    <mergeCell ref="F39:O39"/>
    <mergeCell ref="B73:D82"/>
    <mergeCell ref="A74:A83"/>
    <mergeCell ref="A64:A69"/>
    <mergeCell ref="B64:B69"/>
    <mergeCell ref="C64:D67"/>
    <mergeCell ref="C68:D68"/>
    <mergeCell ref="C69:D69"/>
    <mergeCell ref="B40:B44"/>
    <mergeCell ref="C41:D44"/>
    <mergeCell ref="B45:B47"/>
    <mergeCell ref="C45:C48"/>
    <mergeCell ref="D45:D47"/>
    <mergeCell ref="F51:O51"/>
    <mergeCell ref="F1:O1"/>
    <mergeCell ref="C21:C31"/>
    <mergeCell ref="D21:D24"/>
    <mergeCell ref="D25:D26"/>
    <mergeCell ref="D27:D28"/>
    <mergeCell ref="D29:D31"/>
    <mergeCell ref="C32:D36"/>
    <mergeCell ref="A3:A36"/>
    <mergeCell ref="B3:B37"/>
    <mergeCell ref="C3:C20"/>
    <mergeCell ref="D3:D13"/>
    <mergeCell ref="D14:D20"/>
  </mergeCells>
  <pageMargins left="0.7" right="0.7" top="0.75" bottom="0.75" header="0.3" footer="0.3"/>
  <pageSetup scale="8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05"/>
  <sheetViews>
    <sheetView topLeftCell="B124" zoomScale="70" zoomScaleNormal="70" workbookViewId="0">
      <selection activeCell="P141" sqref="P141"/>
    </sheetView>
  </sheetViews>
  <sheetFormatPr baseColWidth="10" defaultRowHeight="15" x14ac:dyDescent="0.25"/>
  <cols>
    <col min="1" max="1" width="15.7109375" hidden="1" customWidth="1"/>
    <col min="2" max="2" width="8.28515625" customWidth="1"/>
    <col min="3" max="3" width="19" customWidth="1"/>
    <col min="4" max="4" width="30" customWidth="1"/>
    <col min="5" max="5" width="7.7109375" customWidth="1"/>
    <col min="6" max="6" width="51.5703125" customWidth="1"/>
    <col min="7" max="7" width="18.7109375" hidden="1" customWidth="1"/>
    <col min="8" max="8" width="16.7109375" hidden="1" customWidth="1"/>
    <col min="9" max="9" width="18.28515625" style="111" customWidth="1"/>
    <col min="10" max="10" width="9.42578125" customWidth="1"/>
    <col min="11" max="11" width="18.5703125" customWidth="1"/>
  </cols>
  <sheetData>
    <row r="1" spans="1:11" ht="47.25" customHeight="1" thickBot="1" x14ac:dyDescent="0.35">
      <c r="B1" s="660" t="s">
        <v>224</v>
      </c>
      <c r="C1" s="660"/>
      <c r="D1" s="660"/>
      <c r="E1" s="660"/>
      <c r="F1" s="660"/>
      <c r="G1" s="660"/>
      <c r="H1" s="660"/>
      <c r="I1" s="660"/>
      <c r="J1" s="660"/>
      <c r="K1" s="660"/>
    </row>
    <row r="2" spans="1:11" ht="15.75" hidden="1" customHeight="1" thickBot="1" x14ac:dyDescent="0.35">
      <c r="J2" s="662" t="s">
        <v>226</v>
      </c>
      <c r="K2" s="662"/>
    </row>
    <row r="3" spans="1:11" ht="15.75" customHeight="1" thickBot="1" x14ac:dyDescent="0.35">
      <c r="A3" s="370"/>
      <c r="B3" s="370"/>
      <c r="C3" s="370"/>
      <c r="D3" s="370"/>
      <c r="E3" s="370"/>
      <c r="F3" s="370"/>
      <c r="G3" s="370"/>
      <c r="H3" s="370"/>
      <c r="I3" s="371"/>
      <c r="J3" s="663" t="s">
        <v>226</v>
      </c>
      <c r="K3" s="665"/>
    </row>
    <row r="4" spans="1:11" ht="53.25" customHeight="1" thickBot="1" x14ac:dyDescent="0.3">
      <c r="A4" s="335" t="s">
        <v>228</v>
      </c>
      <c r="B4" s="335"/>
      <c r="C4" s="640" t="s">
        <v>297</v>
      </c>
      <c r="D4" s="641"/>
      <c r="E4" s="335"/>
      <c r="F4" s="335" t="s">
        <v>85</v>
      </c>
      <c r="G4" s="335" t="s">
        <v>229</v>
      </c>
      <c r="H4" s="335" t="s">
        <v>123</v>
      </c>
      <c r="I4" s="113" t="s">
        <v>230</v>
      </c>
      <c r="J4" s="335">
        <v>2025</v>
      </c>
      <c r="K4" s="335" t="s">
        <v>79</v>
      </c>
    </row>
    <row r="5" spans="1:11" ht="15.75" customHeight="1" thickBot="1" x14ac:dyDescent="0.3">
      <c r="A5" s="323"/>
      <c r="B5" s="551"/>
      <c r="C5" s="644"/>
      <c r="D5" s="645"/>
      <c r="E5" s="47" t="s">
        <v>306</v>
      </c>
      <c r="F5" s="57" t="s">
        <v>307</v>
      </c>
      <c r="G5" s="51">
        <v>1</v>
      </c>
      <c r="H5" s="71">
        <f>'TABLA GENERAL'!D48</f>
        <v>670956</v>
      </c>
      <c r="I5" s="116">
        <v>670956</v>
      </c>
      <c r="J5" s="51">
        <v>0.15</v>
      </c>
      <c r="K5" s="73">
        <f>J5*H5</f>
        <v>100643.4</v>
      </c>
    </row>
    <row r="6" spans="1:11" ht="17.25" thickBot="1" x14ac:dyDescent="0.3">
      <c r="A6" s="112"/>
      <c r="B6" s="552"/>
      <c r="C6" s="323"/>
      <c r="D6" s="112"/>
      <c r="E6" s="112"/>
      <c r="F6" s="112" t="s">
        <v>308</v>
      </c>
      <c r="G6" s="112"/>
      <c r="H6" s="112"/>
      <c r="I6" s="118">
        <f>SUM(I5:I5)</f>
        <v>670956</v>
      </c>
      <c r="J6" s="112"/>
      <c r="K6" s="333">
        <f>SUM(K5:K5)</f>
        <v>100643.4</v>
      </c>
    </row>
    <row r="8" spans="1:11" thickBot="1" x14ac:dyDescent="0.35"/>
    <row r="9" spans="1:11" ht="47.25" customHeight="1" thickBot="1" x14ac:dyDescent="0.35">
      <c r="B9" s="195"/>
      <c r="C9" s="195"/>
      <c r="D9" s="195"/>
      <c r="E9" s="195"/>
      <c r="F9" s="617" t="s">
        <v>309</v>
      </c>
      <c r="G9" s="618"/>
      <c r="H9" s="618"/>
      <c r="I9" s="618"/>
      <c r="J9" s="618"/>
      <c r="K9" s="618"/>
    </row>
    <row r="10" spans="1:11" ht="50.25" customHeight="1" thickBot="1" x14ac:dyDescent="0.3">
      <c r="A10" s="335" t="s">
        <v>228</v>
      </c>
      <c r="B10" s="550" t="s">
        <v>310</v>
      </c>
      <c r="C10" s="121"/>
      <c r="D10" s="122"/>
      <c r="E10" s="335"/>
      <c r="F10" s="112" t="s">
        <v>85</v>
      </c>
      <c r="G10" s="335" t="s">
        <v>229</v>
      </c>
      <c r="H10" s="335" t="s">
        <v>123</v>
      </c>
      <c r="I10" s="113" t="s">
        <v>230</v>
      </c>
      <c r="J10" s="335">
        <v>2025</v>
      </c>
      <c r="K10" s="335" t="s">
        <v>79</v>
      </c>
    </row>
    <row r="11" spans="1:11" ht="39" customHeight="1" thickBot="1" x14ac:dyDescent="0.3">
      <c r="A11" s="279"/>
      <c r="B11" s="551"/>
      <c r="C11" s="646" t="s">
        <v>311</v>
      </c>
      <c r="D11" s="647"/>
      <c r="E11" s="47" t="s">
        <v>312</v>
      </c>
      <c r="F11" s="32" t="s">
        <v>313</v>
      </c>
      <c r="G11" s="15">
        <v>42</v>
      </c>
      <c r="H11" s="59">
        <f>'TABLA GENERAL'!D56</f>
        <v>739</v>
      </c>
      <c r="I11" s="115">
        <f>G11*H11</f>
        <v>31038</v>
      </c>
      <c r="J11" s="15">
        <v>14</v>
      </c>
      <c r="K11" s="60">
        <f t="shared" ref="K11:K42" si="0">J11*H11</f>
        <v>10346</v>
      </c>
    </row>
    <row r="12" spans="1:11" ht="16.5" customHeight="1" thickBot="1" x14ac:dyDescent="0.3">
      <c r="A12" s="279"/>
      <c r="B12" s="551"/>
      <c r="C12" s="646"/>
      <c r="D12" s="647"/>
      <c r="E12" s="47" t="s">
        <v>314</v>
      </c>
      <c r="F12" s="32" t="s">
        <v>315</v>
      </c>
      <c r="G12" s="15">
        <v>84</v>
      </c>
      <c r="H12" s="59">
        <f>'TABLA GENERAL'!D57</f>
        <v>2300</v>
      </c>
      <c r="I12" s="115">
        <f t="shared" ref="I12:I75" si="1">G12*H12</f>
        <v>193200</v>
      </c>
      <c r="J12" s="15">
        <v>12</v>
      </c>
      <c r="K12" s="60">
        <f t="shared" si="0"/>
        <v>27600</v>
      </c>
    </row>
    <row r="13" spans="1:11" ht="16.5" customHeight="1" thickBot="1" x14ac:dyDescent="0.3">
      <c r="A13" s="279"/>
      <c r="B13" s="551"/>
      <c r="C13" s="646"/>
      <c r="D13" s="647"/>
      <c r="E13" s="47" t="s">
        <v>94</v>
      </c>
      <c r="F13" s="32" t="s">
        <v>93</v>
      </c>
      <c r="G13" s="15">
        <v>125</v>
      </c>
      <c r="H13" s="59">
        <f>'TABLA GENERAL'!D58</f>
        <v>1690</v>
      </c>
      <c r="I13" s="115">
        <f t="shared" si="1"/>
        <v>211250</v>
      </c>
      <c r="J13" s="15">
        <v>10</v>
      </c>
      <c r="K13" s="60">
        <f t="shared" si="0"/>
        <v>16900</v>
      </c>
    </row>
    <row r="14" spans="1:11" ht="16.5" customHeight="1" thickBot="1" x14ac:dyDescent="0.3">
      <c r="A14" s="279"/>
      <c r="B14" s="551"/>
      <c r="C14" s="646"/>
      <c r="D14" s="647"/>
      <c r="E14" s="47" t="s">
        <v>92</v>
      </c>
      <c r="F14" s="32" t="s">
        <v>91</v>
      </c>
      <c r="G14" s="15">
        <v>140</v>
      </c>
      <c r="H14" s="59">
        <f>'TABLA GENERAL'!D59</f>
        <v>13300</v>
      </c>
      <c r="I14" s="115">
        <f t="shared" si="1"/>
        <v>1862000</v>
      </c>
      <c r="J14" s="15">
        <v>24</v>
      </c>
      <c r="K14" s="60">
        <f t="shared" si="0"/>
        <v>319200</v>
      </c>
    </row>
    <row r="15" spans="1:11" ht="16.5" customHeight="1" thickBot="1" x14ac:dyDescent="0.3">
      <c r="A15" s="279"/>
      <c r="B15" s="551"/>
      <c r="C15" s="646"/>
      <c r="D15" s="647"/>
      <c r="E15" s="47" t="s">
        <v>316</v>
      </c>
      <c r="F15" s="32" t="s">
        <v>317</v>
      </c>
      <c r="G15" s="15">
        <v>42</v>
      </c>
      <c r="H15" s="59">
        <f>'TABLA GENERAL'!D60</f>
        <v>314</v>
      </c>
      <c r="I15" s="115">
        <f t="shared" si="1"/>
        <v>13188</v>
      </c>
      <c r="J15" s="15">
        <v>14</v>
      </c>
      <c r="K15" s="60">
        <f t="shared" si="0"/>
        <v>4396</v>
      </c>
    </row>
    <row r="16" spans="1:11" ht="16.5" customHeight="1" thickBot="1" x14ac:dyDescent="0.3">
      <c r="A16" s="279"/>
      <c r="B16" s="551"/>
      <c r="C16" s="646"/>
      <c r="D16" s="647"/>
      <c r="E16" s="47" t="s">
        <v>318</v>
      </c>
      <c r="F16" s="32" t="s">
        <v>319</v>
      </c>
      <c r="G16" s="15">
        <v>70</v>
      </c>
      <c r="H16" s="59">
        <f>'TABLA GENERAL'!D61</f>
        <v>139.66999999999999</v>
      </c>
      <c r="I16" s="115">
        <f t="shared" si="1"/>
        <v>9776.9</v>
      </c>
      <c r="J16" s="15">
        <v>10</v>
      </c>
      <c r="K16" s="60">
        <f t="shared" si="0"/>
        <v>1396.6999999999998</v>
      </c>
    </row>
    <row r="17" spans="1:11" ht="30.75" thickBot="1" x14ac:dyDescent="0.3">
      <c r="A17" s="279"/>
      <c r="B17" s="551"/>
      <c r="C17" s="646"/>
      <c r="D17" s="647"/>
      <c r="E17" s="47" t="s">
        <v>320</v>
      </c>
      <c r="F17" s="32" t="s">
        <v>321</v>
      </c>
      <c r="G17" s="15">
        <v>165</v>
      </c>
      <c r="H17" s="59">
        <f>'TABLA GENERAL'!D62</f>
        <v>315</v>
      </c>
      <c r="I17" s="115">
        <f t="shared" si="1"/>
        <v>51975</v>
      </c>
      <c r="J17" s="15">
        <v>56</v>
      </c>
      <c r="K17" s="60">
        <f t="shared" si="0"/>
        <v>17640</v>
      </c>
    </row>
    <row r="18" spans="1:11" ht="16.5" customHeight="1" thickBot="1" x14ac:dyDescent="0.3">
      <c r="A18" s="279"/>
      <c r="B18" s="551"/>
      <c r="C18" s="646"/>
      <c r="D18" s="647"/>
      <c r="E18" s="47" t="s">
        <v>322</v>
      </c>
      <c r="F18" s="32" t="s">
        <v>323</v>
      </c>
      <c r="G18" s="15">
        <v>6</v>
      </c>
      <c r="H18" s="59">
        <f>'TABLA GENERAL'!D63</f>
        <v>250</v>
      </c>
      <c r="I18" s="115">
        <f t="shared" si="1"/>
        <v>1500</v>
      </c>
      <c r="J18" s="15">
        <v>6</v>
      </c>
      <c r="K18" s="60">
        <f t="shared" si="0"/>
        <v>1500</v>
      </c>
    </row>
    <row r="19" spans="1:11" ht="16.5" customHeight="1" thickBot="1" x14ac:dyDescent="0.3">
      <c r="A19" s="279"/>
      <c r="B19" s="551"/>
      <c r="C19" s="646"/>
      <c r="D19" s="647"/>
      <c r="E19" s="47" t="s">
        <v>324</v>
      </c>
      <c r="F19" s="32" t="s">
        <v>325</v>
      </c>
      <c r="G19" s="15">
        <v>4</v>
      </c>
      <c r="H19" s="59">
        <f>'TABLA GENERAL'!D66</f>
        <v>34</v>
      </c>
      <c r="I19" s="115">
        <f t="shared" si="1"/>
        <v>136</v>
      </c>
      <c r="J19" s="15">
        <v>4</v>
      </c>
      <c r="K19" s="60">
        <f t="shared" si="0"/>
        <v>136</v>
      </c>
    </row>
    <row r="20" spans="1:11" ht="30.75" thickBot="1" x14ac:dyDescent="0.3">
      <c r="A20" s="279"/>
      <c r="B20" s="551"/>
      <c r="C20" s="646"/>
      <c r="D20" s="647"/>
      <c r="E20" s="47" t="s">
        <v>326</v>
      </c>
      <c r="F20" s="32" t="s">
        <v>327</v>
      </c>
      <c r="G20" s="15">
        <v>10</v>
      </c>
      <c r="H20" s="59">
        <f>'TABLA GENERAL'!D67</f>
        <v>2800</v>
      </c>
      <c r="I20" s="115">
        <f t="shared" si="1"/>
        <v>28000</v>
      </c>
      <c r="J20" s="15">
        <v>8</v>
      </c>
      <c r="K20" s="60">
        <f t="shared" si="0"/>
        <v>22400</v>
      </c>
    </row>
    <row r="21" spans="1:11" ht="16.5" customHeight="1" thickBot="1" x14ac:dyDescent="0.3">
      <c r="A21" s="279"/>
      <c r="B21" s="551"/>
      <c r="C21" s="646"/>
      <c r="D21" s="647"/>
      <c r="E21" s="47" t="s">
        <v>328</v>
      </c>
      <c r="F21" s="32" t="s">
        <v>329</v>
      </c>
      <c r="G21" s="15">
        <v>20</v>
      </c>
      <c r="H21" s="59">
        <f>'TABLA GENERAL'!D68</f>
        <v>2500</v>
      </c>
      <c r="I21" s="115">
        <f t="shared" si="1"/>
        <v>50000</v>
      </c>
      <c r="J21" s="15">
        <v>8</v>
      </c>
      <c r="K21" s="60">
        <f t="shared" si="0"/>
        <v>20000</v>
      </c>
    </row>
    <row r="22" spans="1:11" ht="16.5" customHeight="1" thickBot="1" x14ac:dyDescent="0.3">
      <c r="A22" s="279"/>
      <c r="B22" s="551"/>
      <c r="C22" s="646"/>
      <c r="D22" s="647"/>
      <c r="E22" s="47" t="s">
        <v>330</v>
      </c>
      <c r="F22" s="32" t="s">
        <v>331</v>
      </c>
      <c r="G22" s="15">
        <v>56</v>
      </c>
      <c r="H22" s="59">
        <f>'TABLA GENERAL'!D69</f>
        <v>712</v>
      </c>
      <c r="I22" s="115">
        <f t="shared" si="1"/>
        <v>39872</v>
      </c>
      <c r="J22" s="15">
        <v>42</v>
      </c>
      <c r="K22" s="60">
        <f t="shared" si="0"/>
        <v>29904</v>
      </c>
    </row>
    <row r="23" spans="1:11" ht="16.5" customHeight="1" thickBot="1" x14ac:dyDescent="0.3">
      <c r="A23" s="279"/>
      <c r="B23" s="551"/>
      <c r="C23" s="627" t="s">
        <v>332</v>
      </c>
      <c r="D23" s="650"/>
      <c r="E23" s="56" t="s">
        <v>333</v>
      </c>
      <c r="F23" s="32" t="s">
        <v>334</v>
      </c>
      <c r="G23" s="15">
        <v>10</v>
      </c>
      <c r="H23" s="59">
        <f>'TABLA GENERAL'!D71</f>
        <v>2156</v>
      </c>
      <c r="I23" s="115">
        <f t="shared" si="1"/>
        <v>21560</v>
      </c>
      <c r="J23" s="15">
        <v>2</v>
      </c>
      <c r="K23" s="60">
        <f t="shared" si="0"/>
        <v>4312</v>
      </c>
    </row>
    <row r="24" spans="1:11" ht="16.5" customHeight="1" thickBot="1" x14ac:dyDescent="0.3">
      <c r="A24" s="279"/>
      <c r="B24" s="551"/>
      <c r="C24" s="629"/>
      <c r="D24" s="639"/>
      <c r="E24" s="56" t="s">
        <v>335</v>
      </c>
      <c r="F24" s="32" t="s">
        <v>336</v>
      </c>
      <c r="G24" s="15">
        <v>26</v>
      </c>
      <c r="H24" s="59">
        <f>'TABLA GENERAL'!D72</f>
        <v>340.34</v>
      </c>
      <c r="I24" s="115">
        <f t="shared" si="1"/>
        <v>8848.84</v>
      </c>
      <c r="J24" s="15">
        <v>14</v>
      </c>
      <c r="K24" s="60">
        <f t="shared" si="0"/>
        <v>4764.7599999999993</v>
      </c>
    </row>
    <row r="25" spans="1:11" ht="16.5" customHeight="1" thickBot="1" x14ac:dyDescent="0.3">
      <c r="A25" s="279"/>
      <c r="B25" s="551"/>
      <c r="C25" s="629"/>
      <c r="D25" s="639"/>
      <c r="E25" s="56" t="s">
        <v>337</v>
      </c>
      <c r="F25" s="32" t="s">
        <v>338</v>
      </c>
      <c r="G25" s="15">
        <v>56</v>
      </c>
      <c r="H25" s="59">
        <f>'TABLA GENERAL'!D73</f>
        <v>119.36</v>
      </c>
      <c r="I25" s="115">
        <f t="shared" si="1"/>
        <v>6684.16</v>
      </c>
      <c r="J25" s="15">
        <v>28</v>
      </c>
      <c r="K25" s="60">
        <f t="shared" si="0"/>
        <v>3342.08</v>
      </c>
    </row>
    <row r="26" spans="1:11" ht="16.5" customHeight="1" thickBot="1" x14ac:dyDescent="0.3">
      <c r="A26" s="279"/>
      <c r="B26" s="551"/>
      <c r="C26" s="629"/>
      <c r="D26" s="639"/>
      <c r="E26" s="56" t="s">
        <v>339</v>
      </c>
      <c r="F26" s="32" t="s">
        <v>340</v>
      </c>
      <c r="G26" s="15">
        <v>8</v>
      </c>
      <c r="H26" s="59">
        <f>'TABLA GENERAL'!D74</f>
        <v>35.51</v>
      </c>
      <c r="I26" s="115">
        <f t="shared" si="1"/>
        <v>284.08</v>
      </c>
      <c r="J26" s="15">
        <v>8</v>
      </c>
      <c r="K26" s="60">
        <f t="shared" si="0"/>
        <v>284.08</v>
      </c>
    </row>
    <row r="27" spans="1:11" ht="16.5" customHeight="1" thickBot="1" x14ac:dyDescent="0.3">
      <c r="A27" s="279"/>
      <c r="B27" s="551"/>
      <c r="C27" s="629"/>
      <c r="D27" s="639"/>
      <c r="E27" s="56" t="s">
        <v>341</v>
      </c>
      <c r="F27" s="32" t="s">
        <v>342</v>
      </c>
      <c r="G27" s="15">
        <v>24</v>
      </c>
      <c r="H27" s="59">
        <f>'TABLA GENERAL'!D75</f>
        <v>313</v>
      </c>
      <c r="I27" s="115">
        <f t="shared" si="1"/>
        <v>7512</v>
      </c>
      <c r="J27" s="15">
        <v>14</v>
      </c>
      <c r="K27" s="60">
        <f t="shared" si="0"/>
        <v>4382</v>
      </c>
    </row>
    <row r="28" spans="1:11" ht="16.5" customHeight="1" thickBot="1" x14ac:dyDescent="0.3">
      <c r="A28" s="279"/>
      <c r="B28" s="551"/>
      <c r="C28" s="629"/>
      <c r="D28" s="639"/>
      <c r="E28" s="56" t="s">
        <v>343</v>
      </c>
      <c r="F28" s="32" t="s">
        <v>344</v>
      </c>
      <c r="G28" s="15">
        <v>24</v>
      </c>
      <c r="H28" s="59">
        <f>'TABLA GENERAL'!D76</f>
        <v>198.21</v>
      </c>
      <c r="I28" s="115">
        <f t="shared" si="1"/>
        <v>4757.04</v>
      </c>
      <c r="J28" s="15">
        <v>14</v>
      </c>
      <c r="K28" s="60">
        <f t="shared" si="0"/>
        <v>2774.94</v>
      </c>
    </row>
    <row r="29" spans="1:11" ht="16.5" customHeight="1" thickBot="1" x14ac:dyDescent="0.3">
      <c r="A29" s="279"/>
      <c r="B29" s="551"/>
      <c r="C29" s="629"/>
      <c r="D29" s="639"/>
      <c r="E29" s="56" t="s">
        <v>345</v>
      </c>
      <c r="F29" s="32" t="s">
        <v>346</v>
      </c>
      <c r="G29" s="20">
        <v>28</v>
      </c>
      <c r="H29" s="123">
        <f>'TABLA GENERAL'!D77</f>
        <v>660.47</v>
      </c>
      <c r="I29" s="115">
        <f t="shared" si="1"/>
        <v>18493.16</v>
      </c>
      <c r="J29" s="20">
        <v>14</v>
      </c>
      <c r="K29" s="60">
        <f t="shared" si="0"/>
        <v>9246.58</v>
      </c>
    </row>
    <row r="30" spans="1:11" ht="16.5" customHeight="1" thickBot="1" x14ac:dyDescent="0.3">
      <c r="A30" s="279"/>
      <c r="B30" s="551"/>
      <c r="C30" s="629"/>
      <c r="D30" s="639"/>
      <c r="E30" s="56" t="s">
        <v>347</v>
      </c>
      <c r="F30" s="32" t="s">
        <v>348</v>
      </c>
      <c r="G30" s="20">
        <v>56</v>
      </c>
      <c r="H30" s="123">
        <f>'TABLA GENERAL'!D78</f>
        <v>27.57</v>
      </c>
      <c r="I30" s="115">
        <f t="shared" si="1"/>
        <v>1543.92</v>
      </c>
      <c r="J30" s="20">
        <v>28</v>
      </c>
      <c r="K30" s="60">
        <f t="shared" si="0"/>
        <v>771.96</v>
      </c>
    </row>
    <row r="31" spans="1:11" ht="16.5" customHeight="1" thickBot="1" x14ac:dyDescent="0.3">
      <c r="A31" s="279"/>
      <c r="B31" s="551"/>
      <c r="C31" s="629"/>
      <c r="D31" s="639"/>
      <c r="E31" s="56" t="s">
        <v>349</v>
      </c>
      <c r="F31" s="32" t="s">
        <v>350</v>
      </c>
      <c r="G31" s="20">
        <v>12</v>
      </c>
      <c r="H31" s="123">
        <f>'TABLA GENERAL'!D79</f>
        <v>153.30307692307693</v>
      </c>
      <c r="I31" s="115">
        <f t="shared" si="1"/>
        <v>1839.6369230769233</v>
      </c>
      <c r="J31" s="20">
        <v>10</v>
      </c>
      <c r="K31" s="60">
        <f t="shared" si="0"/>
        <v>1533.0307692307692</v>
      </c>
    </row>
    <row r="32" spans="1:11" ht="16.5" customHeight="1" thickBot="1" x14ac:dyDescent="0.3">
      <c r="A32" s="279"/>
      <c r="B32" s="551"/>
      <c r="C32" s="629"/>
      <c r="D32" s="639"/>
      <c r="E32" s="56" t="s">
        <v>351</v>
      </c>
      <c r="F32" s="32" t="s">
        <v>352</v>
      </c>
      <c r="G32" s="20">
        <v>8</v>
      </c>
      <c r="H32" s="123">
        <f>'TABLA GENERAL'!D80</f>
        <v>153.30307692307693</v>
      </c>
      <c r="I32" s="115">
        <f t="shared" si="1"/>
        <v>1226.4246153846154</v>
      </c>
      <c r="J32" s="20">
        <v>8</v>
      </c>
      <c r="K32" s="60">
        <f t="shared" si="0"/>
        <v>1226.4246153846154</v>
      </c>
    </row>
    <row r="33" spans="1:11" ht="16.5" customHeight="1" thickBot="1" x14ac:dyDescent="0.3">
      <c r="A33" s="279"/>
      <c r="B33" s="551"/>
      <c r="C33" s="629"/>
      <c r="D33" s="639"/>
      <c r="E33" s="56" t="s">
        <v>353</v>
      </c>
      <c r="F33" s="32" t="s">
        <v>354</v>
      </c>
      <c r="G33" s="20">
        <v>4</v>
      </c>
      <c r="H33" s="123">
        <f>'TABLA GENERAL'!D81</f>
        <v>3218</v>
      </c>
      <c r="I33" s="115">
        <f t="shared" si="1"/>
        <v>12872</v>
      </c>
      <c r="J33" s="20">
        <v>2</v>
      </c>
      <c r="K33" s="60">
        <f t="shared" si="0"/>
        <v>6436</v>
      </c>
    </row>
    <row r="34" spans="1:11" ht="16.5" customHeight="1" thickBot="1" x14ac:dyDescent="0.3">
      <c r="A34" s="279"/>
      <c r="B34" s="551"/>
      <c r="C34" s="629"/>
      <c r="D34" s="639"/>
      <c r="E34" s="56" t="s">
        <v>355</v>
      </c>
      <c r="F34" s="32" t="s">
        <v>356</v>
      </c>
      <c r="G34" s="20">
        <v>56</v>
      </c>
      <c r="H34" s="123">
        <f>'TABLA GENERAL'!D82</f>
        <v>64.36</v>
      </c>
      <c r="I34" s="115">
        <f t="shared" si="1"/>
        <v>3604.16</v>
      </c>
      <c r="J34" s="20">
        <v>28</v>
      </c>
      <c r="K34" s="60">
        <f t="shared" si="0"/>
        <v>1802.08</v>
      </c>
    </row>
    <row r="35" spans="1:11" ht="16.5" customHeight="1" thickBot="1" x14ac:dyDescent="0.3">
      <c r="A35" s="279"/>
      <c r="B35" s="551"/>
      <c r="C35" s="629"/>
      <c r="D35" s="639"/>
      <c r="E35" s="56" t="s">
        <v>357</v>
      </c>
      <c r="F35" s="32" t="s">
        <v>358</v>
      </c>
      <c r="G35" s="20">
        <v>320</v>
      </c>
      <c r="H35" s="123">
        <f>'TABLA GENERAL'!D85</f>
        <v>153.30307692307693</v>
      </c>
      <c r="I35" s="115">
        <f t="shared" si="1"/>
        <v>49056.984615384616</v>
      </c>
      <c r="J35" s="20">
        <v>28</v>
      </c>
      <c r="K35" s="60">
        <f t="shared" si="0"/>
        <v>4292.4861538461537</v>
      </c>
    </row>
    <row r="36" spans="1:11" ht="16.5" customHeight="1" thickBot="1" x14ac:dyDescent="0.3">
      <c r="A36" s="279"/>
      <c r="B36" s="551"/>
      <c r="C36" s="629"/>
      <c r="D36" s="639"/>
      <c r="E36" s="56" t="s">
        <v>359</v>
      </c>
      <c r="F36" s="32" t="s">
        <v>360</v>
      </c>
      <c r="G36" s="20">
        <v>56</v>
      </c>
      <c r="H36" s="123">
        <f>'TABLA GENERAL'!D86</f>
        <v>12.99</v>
      </c>
      <c r="I36" s="115">
        <f t="shared" si="1"/>
        <v>727.44</v>
      </c>
      <c r="J36" s="20">
        <v>28</v>
      </c>
      <c r="K36" s="60">
        <f t="shared" si="0"/>
        <v>363.72</v>
      </c>
    </row>
    <row r="37" spans="1:11" ht="16.5" customHeight="1" thickBot="1" x14ac:dyDescent="0.3">
      <c r="A37" s="279"/>
      <c r="B37" s="551"/>
      <c r="C37" s="629"/>
      <c r="D37" s="639"/>
      <c r="E37" s="56" t="s">
        <v>361</v>
      </c>
      <c r="F37" s="32" t="s">
        <v>362</v>
      </c>
      <c r="G37" s="20">
        <v>56</v>
      </c>
      <c r="H37" s="123">
        <f>'TABLA GENERAL'!D87</f>
        <v>10.47</v>
      </c>
      <c r="I37" s="115">
        <f t="shared" si="1"/>
        <v>586.32000000000005</v>
      </c>
      <c r="J37" s="20">
        <v>28</v>
      </c>
      <c r="K37" s="60">
        <f t="shared" si="0"/>
        <v>293.16000000000003</v>
      </c>
    </row>
    <row r="38" spans="1:11" ht="16.5" customHeight="1" thickBot="1" x14ac:dyDescent="0.3">
      <c r="A38" s="279"/>
      <c r="B38" s="551"/>
      <c r="C38" s="629"/>
      <c r="D38" s="639"/>
      <c r="E38" s="56" t="s">
        <v>363</v>
      </c>
      <c r="F38" s="32" t="s">
        <v>364</v>
      </c>
      <c r="G38" s="20">
        <v>56</v>
      </c>
      <c r="H38" s="123">
        <f>'TABLA GENERAL'!D87</f>
        <v>10.47</v>
      </c>
      <c r="I38" s="115">
        <f t="shared" si="1"/>
        <v>586.32000000000005</v>
      </c>
      <c r="J38" s="20">
        <v>28</v>
      </c>
      <c r="K38" s="60">
        <f t="shared" si="0"/>
        <v>293.16000000000003</v>
      </c>
    </row>
    <row r="39" spans="1:11" ht="16.5" customHeight="1" thickBot="1" x14ac:dyDescent="0.3">
      <c r="A39" s="279"/>
      <c r="B39" s="551"/>
      <c r="C39" s="629"/>
      <c r="D39" s="639"/>
      <c r="E39" s="56" t="s">
        <v>365</v>
      </c>
      <c r="F39" s="32" t="s">
        <v>366</v>
      </c>
      <c r="G39" s="20">
        <v>28</v>
      </c>
      <c r="H39" s="123">
        <f>'TABLA GENERAL'!D89</f>
        <v>89.6</v>
      </c>
      <c r="I39" s="115">
        <f t="shared" si="1"/>
        <v>2508.7999999999997</v>
      </c>
      <c r="J39" s="20">
        <v>28</v>
      </c>
      <c r="K39" s="60">
        <f t="shared" si="0"/>
        <v>2508.7999999999997</v>
      </c>
    </row>
    <row r="40" spans="1:11" ht="16.5" customHeight="1" thickBot="1" x14ac:dyDescent="0.3">
      <c r="A40" s="279"/>
      <c r="B40" s="551"/>
      <c r="C40" s="629"/>
      <c r="D40" s="639"/>
      <c r="E40" s="56" t="s">
        <v>367</v>
      </c>
      <c r="F40" s="32" t="s">
        <v>368</v>
      </c>
      <c r="G40" s="20">
        <v>12</v>
      </c>
      <c r="H40" s="123">
        <f>'TABLA GENERAL'!D89</f>
        <v>89.6</v>
      </c>
      <c r="I40" s="115">
        <f t="shared" si="1"/>
        <v>1075.1999999999998</v>
      </c>
      <c r="J40" s="20">
        <v>12</v>
      </c>
      <c r="K40" s="60">
        <f t="shared" si="0"/>
        <v>1075.1999999999998</v>
      </c>
    </row>
    <row r="41" spans="1:11" ht="16.5" customHeight="1" thickBot="1" x14ac:dyDescent="0.3">
      <c r="A41" s="279"/>
      <c r="B41" s="551"/>
      <c r="C41" s="629"/>
      <c r="D41" s="639"/>
      <c r="E41" s="56" t="s">
        <v>369</v>
      </c>
      <c r="F41" s="32" t="s">
        <v>370</v>
      </c>
      <c r="G41" s="20">
        <v>28</v>
      </c>
      <c r="H41" s="123">
        <f>'TABLA GENERAL'!D91</f>
        <v>126.72</v>
      </c>
      <c r="I41" s="115">
        <f t="shared" si="1"/>
        <v>3548.16</v>
      </c>
      <c r="J41" s="20">
        <v>28</v>
      </c>
      <c r="K41" s="60">
        <f t="shared" si="0"/>
        <v>3548.16</v>
      </c>
    </row>
    <row r="42" spans="1:11" ht="16.5" customHeight="1" thickBot="1" x14ac:dyDescent="0.3">
      <c r="A42" s="279"/>
      <c r="B42" s="551"/>
      <c r="C42" s="629"/>
      <c r="D42" s="639"/>
      <c r="E42" s="56" t="s">
        <v>371</v>
      </c>
      <c r="F42" s="32" t="s">
        <v>372</v>
      </c>
      <c r="G42" s="15">
        <v>28</v>
      </c>
      <c r="H42" s="59">
        <f>'TABLA GENERAL'!D92</f>
        <v>288</v>
      </c>
      <c r="I42" s="115">
        <f t="shared" si="1"/>
        <v>8064</v>
      </c>
      <c r="J42" s="15">
        <v>28</v>
      </c>
      <c r="K42" s="60">
        <f t="shared" si="0"/>
        <v>8064</v>
      </c>
    </row>
    <row r="43" spans="1:11" ht="16.5" customHeight="1" thickBot="1" x14ac:dyDescent="0.3">
      <c r="A43" s="279"/>
      <c r="B43" s="551"/>
      <c r="C43" s="629"/>
      <c r="D43" s="639"/>
      <c r="E43" s="56" t="s">
        <v>373</v>
      </c>
      <c r="F43" s="32" t="s">
        <v>374</v>
      </c>
      <c r="G43" s="15">
        <v>28</v>
      </c>
      <c r="H43" s="59">
        <f>'TABLA GENERAL'!D93</f>
        <v>14</v>
      </c>
      <c r="I43" s="115">
        <f t="shared" si="1"/>
        <v>392</v>
      </c>
      <c r="J43" s="15">
        <v>28</v>
      </c>
      <c r="K43" s="60">
        <f t="shared" ref="K43:K68" si="2">J43*H43</f>
        <v>392</v>
      </c>
    </row>
    <row r="44" spans="1:11" ht="16.5" customHeight="1" thickBot="1" x14ac:dyDescent="0.3">
      <c r="A44" s="279"/>
      <c r="B44" s="551"/>
      <c r="C44" s="629"/>
      <c r="D44" s="639"/>
      <c r="E44" s="56" t="s">
        <v>375</v>
      </c>
      <c r="F44" s="32" t="s">
        <v>376</v>
      </c>
      <c r="G44" s="15">
        <v>28</v>
      </c>
      <c r="H44" s="59">
        <f>'TABLA GENERAL'!D94</f>
        <v>23.93</v>
      </c>
      <c r="I44" s="115">
        <f t="shared" si="1"/>
        <v>670.04</v>
      </c>
      <c r="J44" s="15">
        <v>28</v>
      </c>
      <c r="K44" s="60">
        <f t="shared" si="2"/>
        <v>670.04</v>
      </c>
    </row>
    <row r="45" spans="1:11" ht="16.5" customHeight="1" thickBot="1" x14ac:dyDescent="0.3">
      <c r="A45" s="279"/>
      <c r="B45" s="551"/>
      <c r="C45" s="629"/>
      <c r="D45" s="639"/>
      <c r="E45" s="56" t="s">
        <v>377</v>
      </c>
      <c r="F45" s="32" t="s">
        <v>378</v>
      </c>
      <c r="G45" s="15">
        <v>28</v>
      </c>
      <c r="H45" s="59">
        <f>'TABLA GENERAL'!D95</f>
        <v>72.760000000000005</v>
      </c>
      <c r="I45" s="115">
        <f t="shared" si="1"/>
        <v>2037.2800000000002</v>
      </c>
      <c r="J45" s="15">
        <v>28</v>
      </c>
      <c r="K45" s="60">
        <f t="shared" si="2"/>
        <v>2037.2800000000002</v>
      </c>
    </row>
    <row r="46" spans="1:11" ht="16.5" customHeight="1" thickBot="1" x14ac:dyDescent="0.3">
      <c r="A46" s="279"/>
      <c r="B46" s="551"/>
      <c r="C46" s="629"/>
      <c r="D46" s="639"/>
      <c r="E46" s="56" t="s">
        <v>379</v>
      </c>
      <c r="F46" s="32" t="s">
        <v>380</v>
      </c>
      <c r="G46" s="15">
        <v>28</v>
      </c>
      <c r="H46" s="59">
        <f>'TABLA GENERAL'!D96</f>
        <v>71.319999999999993</v>
      </c>
      <c r="I46" s="115">
        <f t="shared" si="1"/>
        <v>1996.9599999999998</v>
      </c>
      <c r="J46" s="15">
        <v>28</v>
      </c>
      <c r="K46" s="60">
        <f t="shared" si="2"/>
        <v>1996.9599999999998</v>
      </c>
    </row>
    <row r="47" spans="1:11" ht="16.5" customHeight="1" thickBot="1" x14ac:dyDescent="0.3">
      <c r="A47" s="279"/>
      <c r="B47" s="551"/>
      <c r="C47" s="629"/>
      <c r="D47" s="639"/>
      <c r="E47" s="56" t="s">
        <v>381</v>
      </c>
      <c r="F47" s="32" t="s">
        <v>382</v>
      </c>
      <c r="G47" s="15">
        <v>20</v>
      </c>
      <c r="H47" s="59">
        <f>'TABLA GENERAL'!D97</f>
        <v>162</v>
      </c>
      <c r="I47" s="115">
        <f t="shared" si="1"/>
        <v>3240</v>
      </c>
      <c r="J47" s="15">
        <v>10</v>
      </c>
      <c r="K47" s="60">
        <f t="shared" si="2"/>
        <v>1620</v>
      </c>
    </row>
    <row r="48" spans="1:11" ht="16.5" customHeight="1" thickBot="1" x14ac:dyDescent="0.3">
      <c r="A48" s="279"/>
      <c r="B48" s="551"/>
      <c r="C48" s="629"/>
      <c r="D48" s="639"/>
      <c r="E48" s="56" t="s">
        <v>383</v>
      </c>
      <c r="F48" s="32" t="s">
        <v>384</v>
      </c>
      <c r="G48" s="15">
        <v>28</v>
      </c>
      <c r="H48" s="59">
        <f>'TABLA GENERAL'!D98</f>
        <v>94</v>
      </c>
      <c r="I48" s="115">
        <f t="shared" si="1"/>
        <v>2632</v>
      </c>
      <c r="J48" s="15">
        <v>28</v>
      </c>
      <c r="K48" s="60">
        <f t="shared" si="2"/>
        <v>2632</v>
      </c>
    </row>
    <row r="49" spans="1:11" ht="16.5" customHeight="1" thickBot="1" x14ac:dyDescent="0.3">
      <c r="A49" s="279"/>
      <c r="B49" s="551"/>
      <c r="C49" s="629"/>
      <c r="D49" s="639"/>
      <c r="E49" s="56" t="s">
        <v>385</v>
      </c>
      <c r="F49" s="32" t="s">
        <v>386</v>
      </c>
      <c r="G49" s="15">
        <v>112</v>
      </c>
      <c r="H49" s="59">
        <f>'TABLA GENERAL'!D99</f>
        <v>9</v>
      </c>
      <c r="I49" s="115">
        <f t="shared" si="1"/>
        <v>1008</v>
      </c>
      <c r="J49" s="15">
        <v>28</v>
      </c>
      <c r="K49" s="60">
        <f t="shared" si="2"/>
        <v>252</v>
      </c>
    </row>
    <row r="50" spans="1:11" ht="16.5" customHeight="1" thickBot="1" x14ac:dyDescent="0.3">
      <c r="A50" s="279"/>
      <c r="B50" s="551"/>
      <c r="C50" s="629"/>
      <c r="D50" s="639"/>
      <c r="E50" s="56" t="s">
        <v>387</v>
      </c>
      <c r="F50" s="32" t="s">
        <v>388</v>
      </c>
      <c r="G50" s="15">
        <v>85</v>
      </c>
      <c r="H50" s="59">
        <f>'TABLA GENERAL'!D100</f>
        <v>13.49</v>
      </c>
      <c r="I50" s="115">
        <f t="shared" si="1"/>
        <v>1146.6500000000001</v>
      </c>
      <c r="J50" s="15">
        <v>14</v>
      </c>
      <c r="K50" s="60">
        <f t="shared" si="2"/>
        <v>188.86</v>
      </c>
    </row>
    <row r="51" spans="1:11" ht="16.5" customHeight="1" thickBot="1" x14ac:dyDescent="0.3">
      <c r="A51" s="279"/>
      <c r="B51" s="551"/>
      <c r="C51" s="629"/>
      <c r="D51" s="639"/>
      <c r="E51" s="56" t="s">
        <v>389</v>
      </c>
      <c r="F51" s="32" t="s">
        <v>390</v>
      </c>
      <c r="G51" s="20">
        <v>20</v>
      </c>
      <c r="H51" s="123">
        <f>'TABLA GENERAL'!D101</f>
        <v>60.12</v>
      </c>
      <c r="I51" s="115">
        <f t="shared" si="1"/>
        <v>1202.3999999999999</v>
      </c>
      <c r="J51" s="20">
        <v>14</v>
      </c>
      <c r="K51" s="60">
        <f t="shared" si="2"/>
        <v>841.68</v>
      </c>
    </row>
    <row r="52" spans="1:11" ht="16.5" customHeight="1" thickBot="1" x14ac:dyDescent="0.3">
      <c r="A52" s="279"/>
      <c r="B52" s="551"/>
      <c r="C52" s="629"/>
      <c r="D52" s="639"/>
      <c r="E52" s="56" t="s">
        <v>391</v>
      </c>
      <c r="F52" s="32" t="s">
        <v>392</v>
      </c>
      <c r="G52" s="20">
        <v>20</v>
      </c>
      <c r="H52" s="123">
        <f>'TABLA GENERAL'!D102</f>
        <v>43.2</v>
      </c>
      <c r="I52" s="115">
        <f t="shared" si="1"/>
        <v>864</v>
      </c>
      <c r="J52" s="20">
        <v>14</v>
      </c>
      <c r="K52" s="60">
        <f t="shared" si="2"/>
        <v>604.80000000000007</v>
      </c>
    </row>
    <row r="53" spans="1:11" ht="16.5" customHeight="1" thickBot="1" x14ac:dyDescent="0.3">
      <c r="A53" s="279"/>
      <c r="B53" s="551"/>
      <c r="C53" s="629"/>
      <c r="D53" s="639"/>
      <c r="E53" s="56" t="s">
        <v>393</v>
      </c>
      <c r="F53" s="32" t="s">
        <v>394</v>
      </c>
      <c r="G53" s="20">
        <v>200</v>
      </c>
      <c r="H53" s="123">
        <f>'TABLA GENERAL'!D103</f>
        <v>96</v>
      </c>
      <c r="I53" s="115">
        <f t="shared" si="1"/>
        <v>19200</v>
      </c>
      <c r="J53" s="20">
        <v>28</v>
      </c>
      <c r="K53" s="60">
        <f t="shared" si="2"/>
        <v>2688</v>
      </c>
    </row>
    <row r="54" spans="1:11" ht="16.5" customHeight="1" thickBot="1" x14ac:dyDescent="0.3">
      <c r="A54" s="279"/>
      <c r="B54" s="551"/>
      <c r="C54" s="629"/>
      <c r="D54" s="639"/>
      <c r="E54" s="56" t="s">
        <v>395</v>
      </c>
      <c r="F54" s="32" t="s">
        <v>396</v>
      </c>
      <c r="G54" s="20">
        <v>510</v>
      </c>
      <c r="H54" s="123">
        <f>'TABLA GENERAL'!D104</f>
        <v>183.74</v>
      </c>
      <c r="I54" s="115">
        <f t="shared" si="1"/>
        <v>93707.400000000009</v>
      </c>
      <c r="J54" s="20">
        <v>28</v>
      </c>
      <c r="K54" s="60">
        <f t="shared" si="2"/>
        <v>5144.72</v>
      </c>
    </row>
    <row r="55" spans="1:11" ht="16.5" customHeight="1" thickBot="1" x14ac:dyDescent="0.3">
      <c r="A55" s="279"/>
      <c r="B55" s="551"/>
      <c r="C55" s="629"/>
      <c r="D55" s="639"/>
      <c r="E55" s="56" t="s">
        <v>397</v>
      </c>
      <c r="F55" s="32" t="s">
        <v>398</v>
      </c>
      <c r="G55" s="20">
        <v>18</v>
      </c>
      <c r="H55" s="123">
        <f>'TABLA GENERAL'!D105</f>
        <v>220.08</v>
      </c>
      <c r="I55" s="115">
        <f t="shared" si="1"/>
        <v>3961.44</v>
      </c>
      <c r="J55" s="20">
        <v>12</v>
      </c>
      <c r="K55" s="60">
        <f t="shared" si="2"/>
        <v>2640.96</v>
      </c>
    </row>
    <row r="56" spans="1:11" ht="16.5" customHeight="1" thickBot="1" x14ac:dyDescent="0.3">
      <c r="A56" s="279"/>
      <c r="B56" s="551"/>
      <c r="C56" s="629"/>
      <c r="D56" s="639"/>
      <c r="E56" s="56" t="s">
        <v>399</v>
      </c>
      <c r="F56" s="32" t="s">
        <v>400</v>
      </c>
      <c r="G56" s="20">
        <v>12</v>
      </c>
      <c r="H56" s="123">
        <f>'TABLA GENERAL'!D106</f>
        <v>304.33</v>
      </c>
      <c r="I56" s="115">
        <f t="shared" si="1"/>
        <v>3651.96</v>
      </c>
      <c r="J56" s="20">
        <v>12</v>
      </c>
      <c r="K56" s="60">
        <f t="shared" si="2"/>
        <v>3651.96</v>
      </c>
    </row>
    <row r="57" spans="1:11" ht="16.5" customHeight="1" thickBot="1" x14ac:dyDescent="0.3">
      <c r="A57" s="279"/>
      <c r="B57" s="551"/>
      <c r="C57" s="629"/>
      <c r="D57" s="639"/>
      <c r="E57" s="56" t="s">
        <v>401</v>
      </c>
      <c r="F57" s="32" t="s">
        <v>402</v>
      </c>
      <c r="G57" s="20">
        <v>28</v>
      </c>
      <c r="H57" s="123">
        <f>'TABLA GENERAL'!D107</f>
        <v>55.78</v>
      </c>
      <c r="I57" s="115">
        <f t="shared" si="1"/>
        <v>1561.8400000000001</v>
      </c>
      <c r="J57" s="20">
        <v>14</v>
      </c>
      <c r="K57" s="60">
        <f t="shared" si="2"/>
        <v>780.92000000000007</v>
      </c>
    </row>
    <row r="58" spans="1:11" ht="16.5" customHeight="1" thickBot="1" x14ac:dyDescent="0.3">
      <c r="A58" s="280"/>
      <c r="B58" s="551"/>
      <c r="C58" s="629"/>
      <c r="D58" s="639"/>
      <c r="E58" s="56" t="s">
        <v>403</v>
      </c>
      <c r="F58" s="57" t="s">
        <v>404</v>
      </c>
      <c r="G58" s="20">
        <v>28</v>
      </c>
      <c r="H58" s="123">
        <f>'TABLA GENERAL'!D108</f>
        <v>48.74</v>
      </c>
      <c r="I58" s="115">
        <f t="shared" si="1"/>
        <v>1364.72</v>
      </c>
      <c r="J58" s="20">
        <v>14</v>
      </c>
      <c r="K58" s="60">
        <f t="shared" si="2"/>
        <v>682.36</v>
      </c>
    </row>
    <row r="59" spans="1:11" ht="16.5" customHeight="1" thickBot="1" x14ac:dyDescent="0.3">
      <c r="A59" s="281" t="s">
        <v>309</v>
      </c>
      <c r="B59" s="551"/>
      <c r="C59" s="629"/>
      <c r="D59" s="639"/>
      <c r="E59" s="56" t="s">
        <v>405</v>
      </c>
      <c r="F59" s="48" t="s">
        <v>406</v>
      </c>
      <c r="G59" s="15">
        <v>28</v>
      </c>
      <c r="H59" s="59">
        <f>'TABLA GENERAL'!D111</f>
        <v>243.21</v>
      </c>
      <c r="I59" s="115">
        <f t="shared" si="1"/>
        <v>6809.88</v>
      </c>
      <c r="J59" s="19">
        <v>14</v>
      </c>
      <c r="K59" s="60">
        <f t="shared" si="2"/>
        <v>3404.94</v>
      </c>
    </row>
    <row r="60" spans="1:11" ht="16.5" customHeight="1" thickBot="1" x14ac:dyDescent="0.3">
      <c r="A60" s="279"/>
      <c r="B60" s="551"/>
      <c r="C60" s="629"/>
      <c r="D60" s="639"/>
      <c r="E60" s="56" t="s">
        <v>407</v>
      </c>
      <c r="F60" s="32" t="s">
        <v>722</v>
      </c>
      <c r="G60" s="20">
        <v>28</v>
      </c>
      <c r="H60" s="59">
        <f>'TABLA GENERAL'!D112</f>
        <v>183.74</v>
      </c>
      <c r="I60" s="115">
        <f t="shared" si="1"/>
        <v>5144.72</v>
      </c>
      <c r="J60" s="19">
        <v>14</v>
      </c>
      <c r="K60" s="60">
        <f t="shared" si="2"/>
        <v>2572.36</v>
      </c>
    </row>
    <row r="61" spans="1:11" ht="16.5" customHeight="1" thickBot="1" x14ac:dyDescent="0.3">
      <c r="A61" s="279"/>
      <c r="B61" s="551"/>
      <c r="C61" s="629"/>
      <c r="D61" s="639"/>
      <c r="E61" s="56" t="s">
        <v>408</v>
      </c>
      <c r="F61" s="32" t="s">
        <v>409</v>
      </c>
      <c r="G61" s="20">
        <v>28</v>
      </c>
      <c r="H61" s="59">
        <f>'TABLA GENERAL'!D113</f>
        <v>144.34</v>
      </c>
      <c r="I61" s="115">
        <f t="shared" si="1"/>
        <v>4041.52</v>
      </c>
      <c r="J61" s="19">
        <v>14</v>
      </c>
      <c r="K61" s="60">
        <f t="shared" si="2"/>
        <v>2020.76</v>
      </c>
    </row>
    <row r="62" spans="1:11" ht="16.5" customHeight="1" thickBot="1" x14ac:dyDescent="0.3">
      <c r="A62" s="279"/>
      <c r="B62" s="551"/>
      <c r="C62" s="629"/>
      <c r="D62" s="639"/>
      <c r="E62" s="56" t="s">
        <v>410</v>
      </c>
      <c r="F62" s="32" t="s">
        <v>411</v>
      </c>
      <c r="G62" s="20">
        <v>4</v>
      </c>
      <c r="H62" s="59">
        <f>'TABLA GENERAL'!D114</f>
        <v>3218</v>
      </c>
      <c r="I62" s="115">
        <f t="shared" si="1"/>
        <v>12872</v>
      </c>
      <c r="J62" s="19">
        <v>4</v>
      </c>
      <c r="K62" s="60">
        <f t="shared" si="2"/>
        <v>12872</v>
      </c>
    </row>
    <row r="63" spans="1:11" ht="16.5" customHeight="1" thickBot="1" x14ac:dyDescent="0.3">
      <c r="A63" s="279"/>
      <c r="B63" s="551"/>
      <c r="C63" s="629"/>
      <c r="D63" s="639"/>
      <c r="E63" s="56" t="s">
        <v>412</v>
      </c>
      <c r="F63" s="32" t="s">
        <v>413</v>
      </c>
      <c r="G63" s="20">
        <v>28</v>
      </c>
      <c r="H63" s="59">
        <f>'TABLA GENERAL'!D115</f>
        <v>608.75</v>
      </c>
      <c r="I63" s="115">
        <f t="shared" si="1"/>
        <v>17045</v>
      </c>
      <c r="J63" s="19">
        <v>14</v>
      </c>
      <c r="K63" s="60">
        <f t="shared" si="2"/>
        <v>8522.5</v>
      </c>
    </row>
    <row r="64" spans="1:11" ht="16.5" customHeight="1" thickBot="1" x14ac:dyDescent="0.3">
      <c r="A64" s="279"/>
      <c r="B64" s="551"/>
      <c r="C64" s="629"/>
      <c r="D64" s="639"/>
      <c r="E64" s="56" t="s">
        <v>414</v>
      </c>
      <c r="F64" s="32" t="s">
        <v>415</v>
      </c>
      <c r="G64" s="20">
        <v>28</v>
      </c>
      <c r="H64" s="59">
        <f>'TABLA GENERAL'!D116</f>
        <v>954.84</v>
      </c>
      <c r="I64" s="115">
        <f t="shared" si="1"/>
        <v>26735.52</v>
      </c>
      <c r="J64" s="19">
        <v>14</v>
      </c>
      <c r="K64" s="60">
        <f t="shared" si="2"/>
        <v>13367.76</v>
      </c>
    </row>
    <row r="65" spans="1:11" ht="16.5" customHeight="1" thickBot="1" x14ac:dyDescent="0.3">
      <c r="A65" s="279"/>
      <c r="B65" s="551"/>
      <c r="C65" s="629"/>
      <c r="D65" s="639"/>
      <c r="E65" s="56" t="s">
        <v>416</v>
      </c>
      <c r="F65" s="32" t="s">
        <v>417</v>
      </c>
      <c r="G65" s="20">
        <v>28</v>
      </c>
      <c r="H65" s="59">
        <f>'TABLA GENERAL'!D117</f>
        <v>789.12</v>
      </c>
      <c r="I65" s="115">
        <f t="shared" si="1"/>
        <v>22095.360000000001</v>
      </c>
      <c r="J65" s="19">
        <v>14</v>
      </c>
      <c r="K65" s="60">
        <f t="shared" si="2"/>
        <v>11047.68</v>
      </c>
    </row>
    <row r="66" spans="1:11" ht="16.5" customHeight="1" thickBot="1" x14ac:dyDescent="0.3">
      <c r="A66" s="279"/>
      <c r="B66" s="551"/>
      <c r="C66" s="629"/>
      <c r="D66" s="639"/>
      <c r="E66" s="56" t="s">
        <v>418</v>
      </c>
      <c r="F66" s="32" t="s">
        <v>419</v>
      </c>
      <c r="G66" s="15">
        <v>28</v>
      </c>
      <c r="H66" s="59">
        <f>'TABLA GENERAL'!D118</f>
        <v>77.3</v>
      </c>
      <c r="I66" s="115">
        <f t="shared" si="1"/>
        <v>2164.4</v>
      </c>
      <c r="J66" s="19">
        <v>14</v>
      </c>
      <c r="K66" s="60">
        <f t="shared" si="2"/>
        <v>1082.2</v>
      </c>
    </row>
    <row r="67" spans="1:11" ht="16.5" customHeight="1" thickBot="1" x14ac:dyDescent="0.3">
      <c r="A67" s="279"/>
      <c r="B67" s="551"/>
      <c r="C67" s="629"/>
      <c r="D67" s="639"/>
      <c r="E67" s="56" t="s">
        <v>420</v>
      </c>
      <c r="F67" s="32" t="s">
        <v>421</v>
      </c>
      <c r="G67" s="15">
        <v>28</v>
      </c>
      <c r="H67" s="59">
        <f>'TABLA GENERAL'!D119</f>
        <v>192.94</v>
      </c>
      <c r="I67" s="115">
        <f t="shared" si="1"/>
        <v>5402.32</v>
      </c>
      <c r="J67" s="19">
        <v>14</v>
      </c>
      <c r="K67" s="60">
        <f t="shared" si="2"/>
        <v>2701.16</v>
      </c>
    </row>
    <row r="68" spans="1:11" ht="16.5" customHeight="1" thickBot="1" x14ac:dyDescent="0.3">
      <c r="A68" s="279"/>
      <c r="B68" s="552"/>
      <c r="C68" s="635"/>
      <c r="D68" s="651"/>
      <c r="E68" s="56" t="s">
        <v>422</v>
      </c>
      <c r="F68" s="32" t="s">
        <v>423</v>
      </c>
      <c r="G68" s="15">
        <v>28</v>
      </c>
      <c r="H68" s="59">
        <f>'TABLA GENERAL'!D120</f>
        <v>550</v>
      </c>
      <c r="I68" s="115">
        <f t="shared" si="1"/>
        <v>15400</v>
      </c>
      <c r="J68" s="19">
        <v>14</v>
      </c>
      <c r="K68" s="60">
        <f t="shared" si="2"/>
        <v>7700</v>
      </c>
    </row>
    <row r="69" spans="1:11" ht="90" customHeight="1" thickBot="1" x14ac:dyDescent="0.3">
      <c r="A69" s="279"/>
      <c r="B69" s="550" t="s">
        <v>752</v>
      </c>
      <c r="C69" s="627"/>
      <c r="D69" s="650"/>
      <c r="E69" s="335"/>
      <c r="F69" s="112" t="s">
        <v>85</v>
      </c>
      <c r="G69" s="335" t="s">
        <v>229</v>
      </c>
      <c r="H69" s="335" t="s">
        <v>123</v>
      </c>
      <c r="I69" s="113" t="s">
        <v>230</v>
      </c>
      <c r="J69" s="335">
        <v>2025</v>
      </c>
      <c r="K69" s="335" t="s">
        <v>79</v>
      </c>
    </row>
    <row r="70" spans="1:11" ht="16.5" customHeight="1" thickBot="1" x14ac:dyDescent="0.3">
      <c r="A70" s="279"/>
      <c r="B70" s="551"/>
      <c r="C70" s="627" t="s">
        <v>424</v>
      </c>
      <c r="D70" s="637" t="s">
        <v>425</v>
      </c>
      <c r="E70" s="56" t="s">
        <v>76</v>
      </c>
      <c r="F70" s="32" t="s">
        <v>75</v>
      </c>
      <c r="G70" s="15">
        <v>4</v>
      </c>
      <c r="H70" s="59">
        <f>'TABLA GENERAL'!D121</f>
        <v>15700</v>
      </c>
      <c r="I70" s="115">
        <f t="shared" si="1"/>
        <v>62800</v>
      </c>
      <c r="J70" s="19">
        <v>3</v>
      </c>
      <c r="K70" s="60">
        <f t="shared" ref="K70:K97" si="3">J70*H70</f>
        <v>47100</v>
      </c>
    </row>
    <row r="71" spans="1:11" ht="76.5" customHeight="1" thickBot="1" x14ac:dyDescent="0.3">
      <c r="A71" s="279"/>
      <c r="B71" s="551"/>
      <c r="C71" s="629"/>
      <c r="D71" s="638"/>
      <c r="E71" s="56" t="s">
        <v>74</v>
      </c>
      <c r="F71" s="32" t="s">
        <v>73</v>
      </c>
      <c r="G71" s="15">
        <v>4</v>
      </c>
      <c r="H71" s="59">
        <f>'TABLA GENERAL'!D122</f>
        <v>45800</v>
      </c>
      <c r="I71" s="115">
        <f t="shared" si="1"/>
        <v>183200</v>
      </c>
      <c r="J71" s="19">
        <v>1</v>
      </c>
      <c r="K71" s="60">
        <f t="shared" si="3"/>
        <v>45800</v>
      </c>
    </row>
    <row r="72" spans="1:11" ht="16.5" customHeight="1" thickBot="1" x14ac:dyDescent="0.3">
      <c r="A72" s="279"/>
      <c r="B72" s="551"/>
      <c r="C72" s="629"/>
      <c r="D72" s="638"/>
      <c r="E72" s="56" t="s">
        <v>72</v>
      </c>
      <c r="F72" s="32" t="s">
        <v>71</v>
      </c>
      <c r="G72" s="15">
        <v>28</v>
      </c>
      <c r="H72" s="59">
        <f>'TABLA GENERAL'!D123</f>
        <v>4090</v>
      </c>
      <c r="I72" s="115">
        <f t="shared" si="1"/>
        <v>114520</v>
      </c>
      <c r="J72" s="19">
        <v>10</v>
      </c>
      <c r="K72" s="60">
        <f t="shared" si="3"/>
        <v>40900</v>
      </c>
    </row>
    <row r="73" spans="1:11" ht="16.5" customHeight="1" thickBot="1" x14ac:dyDescent="0.3">
      <c r="A73" s="279"/>
      <c r="B73" s="551"/>
      <c r="C73" s="629"/>
      <c r="D73" s="638"/>
      <c r="E73" s="56" t="s">
        <v>339</v>
      </c>
      <c r="F73" s="32" t="s">
        <v>426</v>
      </c>
      <c r="G73" s="15">
        <v>28</v>
      </c>
      <c r="H73" s="59">
        <f>'TABLA GENERAL'!D124</f>
        <v>3650</v>
      </c>
      <c r="I73" s="115">
        <f t="shared" si="1"/>
        <v>102200</v>
      </c>
      <c r="J73" s="19">
        <v>10</v>
      </c>
      <c r="K73" s="60">
        <f t="shared" si="3"/>
        <v>36500</v>
      </c>
    </row>
    <row r="74" spans="1:11" ht="30.75" thickBot="1" x14ac:dyDescent="0.3">
      <c r="A74" s="279"/>
      <c r="B74" s="551"/>
      <c r="C74" s="629"/>
      <c r="D74" s="638"/>
      <c r="E74" s="56" t="s">
        <v>427</v>
      </c>
      <c r="F74" s="32" t="s">
        <v>428</v>
      </c>
      <c r="G74" s="15">
        <v>8</v>
      </c>
      <c r="H74" s="59">
        <f>'TABLA GENERAL'!D125</f>
        <v>5100</v>
      </c>
      <c r="I74" s="115">
        <f t="shared" si="1"/>
        <v>40800</v>
      </c>
      <c r="J74" s="19">
        <v>5</v>
      </c>
      <c r="K74" s="60">
        <f t="shared" si="3"/>
        <v>25500</v>
      </c>
    </row>
    <row r="75" spans="1:11" ht="16.5" customHeight="1" thickBot="1" x14ac:dyDescent="0.3">
      <c r="A75" s="279"/>
      <c r="B75" s="551"/>
      <c r="C75" s="629"/>
      <c r="D75" s="638"/>
      <c r="E75" s="56" t="s">
        <v>429</v>
      </c>
      <c r="F75" s="32" t="s">
        <v>430</v>
      </c>
      <c r="G75" s="15">
        <v>84</v>
      </c>
      <c r="H75" s="59">
        <f>'TABLA GENERAL'!D126</f>
        <v>20800</v>
      </c>
      <c r="I75" s="115">
        <f t="shared" si="1"/>
        <v>1747200</v>
      </c>
      <c r="J75" s="19">
        <v>14</v>
      </c>
      <c r="K75" s="60">
        <f t="shared" si="3"/>
        <v>291200</v>
      </c>
    </row>
    <row r="76" spans="1:11" ht="16.5" customHeight="1" thickBot="1" x14ac:dyDescent="0.3">
      <c r="A76" s="279"/>
      <c r="B76" s="551"/>
      <c r="C76" s="629"/>
      <c r="D76" s="638"/>
      <c r="E76" s="56" t="s">
        <v>431</v>
      </c>
      <c r="F76" s="32" t="s">
        <v>432</v>
      </c>
      <c r="G76" s="15">
        <v>84</v>
      </c>
      <c r="H76" s="59">
        <f>'TABLA GENERAL'!D127</f>
        <v>0</v>
      </c>
      <c r="I76" s="115">
        <f t="shared" ref="I76:I96" si="4">G76*H76</f>
        <v>0</v>
      </c>
      <c r="J76" s="19">
        <v>14</v>
      </c>
      <c r="K76" s="60">
        <f t="shared" si="3"/>
        <v>0</v>
      </c>
    </row>
    <row r="77" spans="1:11" ht="16.5" customHeight="1" thickBot="1" x14ac:dyDescent="0.3">
      <c r="A77" s="279"/>
      <c r="B77" s="551"/>
      <c r="C77" s="629"/>
      <c r="D77" s="638"/>
      <c r="E77" s="56" t="s">
        <v>433</v>
      </c>
      <c r="F77" s="32" t="s">
        <v>434</v>
      </c>
      <c r="G77" s="15">
        <v>88</v>
      </c>
      <c r="H77" s="59">
        <f>'TABLA GENERAL'!D128</f>
        <v>0</v>
      </c>
      <c r="I77" s="115">
        <f t="shared" si="4"/>
        <v>0</v>
      </c>
      <c r="J77" s="19">
        <v>28</v>
      </c>
      <c r="K77" s="60">
        <f t="shared" si="3"/>
        <v>0</v>
      </c>
    </row>
    <row r="78" spans="1:11" ht="16.5" customHeight="1" thickBot="1" x14ac:dyDescent="0.3">
      <c r="A78" s="279"/>
      <c r="B78" s="551"/>
      <c r="C78" s="629"/>
      <c r="D78" s="638"/>
      <c r="E78" s="56" t="s">
        <v>435</v>
      </c>
      <c r="F78" s="32" t="s">
        <v>436</v>
      </c>
      <c r="G78" s="15">
        <v>91</v>
      </c>
      <c r="H78" s="59">
        <f>'TABLA GENERAL'!D129</f>
        <v>30</v>
      </c>
      <c r="I78" s="115">
        <f t="shared" si="4"/>
        <v>2730</v>
      </c>
      <c r="J78" s="19">
        <v>28</v>
      </c>
      <c r="K78" s="60">
        <f t="shared" si="3"/>
        <v>840</v>
      </c>
    </row>
    <row r="79" spans="1:11" ht="16.5" customHeight="1" thickBot="1" x14ac:dyDescent="0.3">
      <c r="A79" s="279"/>
      <c r="B79" s="551"/>
      <c r="C79" s="629"/>
      <c r="D79" s="638"/>
      <c r="E79" s="56" t="s">
        <v>437</v>
      </c>
      <c r="F79" s="32" t="s">
        <v>438</v>
      </c>
      <c r="G79" s="15">
        <v>98</v>
      </c>
      <c r="H79" s="59">
        <f>'TABLA GENERAL'!D130</f>
        <v>2150</v>
      </c>
      <c r="I79" s="115">
        <f t="shared" si="4"/>
        <v>210700</v>
      </c>
      <c r="J79" s="19">
        <v>28</v>
      </c>
      <c r="K79" s="60">
        <f t="shared" si="3"/>
        <v>60200</v>
      </c>
    </row>
    <row r="80" spans="1:11" ht="16.5" customHeight="1" thickBot="1" x14ac:dyDescent="0.3">
      <c r="A80" s="279"/>
      <c r="B80" s="551"/>
      <c r="C80" s="629"/>
      <c r="D80" s="638"/>
      <c r="E80" s="56" t="s">
        <v>439</v>
      </c>
      <c r="F80" s="32" t="s">
        <v>440</v>
      </c>
      <c r="G80" s="15">
        <v>96</v>
      </c>
      <c r="H80" s="59">
        <f>'TABLA GENERAL'!D131</f>
        <v>70.209999999999994</v>
      </c>
      <c r="I80" s="115">
        <f t="shared" si="4"/>
        <v>6740.16</v>
      </c>
      <c r="J80" s="19">
        <v>28</v>
      </c>
      <c r="K80" s="60">
        <f t="shared" si="3"/>
        <v>1965.8799999999999</v>
      </c>
    </row>
    <row r="81" spans="1:11" ht="16.5" customHeight="1" thickBot="1" x14ac:dyDescent="0.3">
      <c r="A81" s="279"/>
      <c r="B81" s="551"/>
      <c r="C81" s="629"/>
      <c r="D81" s="638"/>
      <c r="E81" s="56" t="s">
        <v>441</v>
      </c>
      <c r="F81" s="32" t="s">
        <v>442</v>
      </c>
      <c r="G81" s="15">
        <v>84</v>
      </c>
      <c r="H81" s="59">
        <f>'TABLA GENERAL'!D132</f>
        <v>3700</v>
      </c>
      <c r="I81" s="115">
        <f t="shared" si="4"/>
        <v>310800</v>
      </c>
      <c r="J81" s="19">
        <v>28</v>
      </c>
      <c r="K81" s="60">
        <f t="shared" si="3"/>
        <v>103600</v>
      </c>
    </row>
    <row r="82" spans="1:11" ht="16.5" customHeight="1" thickBot="1" x14ac:dyDescent="0.3">
      <c r="A82" s="279"/>
      <c r="B82" s="551"/>
      <c r="C82" s="629"/>
      <c r="D82" s="638"/>
      <c r="E82" s="56" t="s">
        <v>443</v>
      </c>
      <c r="F82" s="32" t="s">
        <v>444</v>
      </c>
      <c r="G82" s="15">
        <v>126</v>
      </c>
      <c r="H82" s="59">
        <f>'TABLA GENERAL'!D133</f>
        <v>568</v>
      </c>
      <c r="I82" s="115">
        <f t="shared" si="4"/>
        <v>71568</v>
      </c>
      <c r="J82" s="19">
        <v>28</v>
      </c>
      <c r="K82" s="60">
        <f t="shared" si="3"/>
        <v>15904</v>
      </c>
    </row>
    <row r="83" spans="1:11" ht="16.5" customHeight="1" thickBot="1" x14ac:dyDescent="0.3">
      <c r="A83" s="279"/>
      <c r="B83" s="551"/>
      <c r="C83" s="629"/>
      <c r="D83" s="638"/>
      <c r="E83" s="56" t="s">
        <v>445</v>
      </c>
      <c r="F83" s="32" t="s">
        <v>446</v>
      </c>
      <c r="G83" s="15">
        <v>9</v>
      </c>
      <c r="H83" s="59">
        <f>'TABLA GENERAL'!D135</f>
        <v>200</v>
      </c>
      <c r="I83" s="115">
        <f t="shared" si="4"/>
        <v>1800</v>
      </c>
      <c r="J83" s="19">
        <v>8</v>
      </c>
      <c r="K83" s="60">
        <f t="shared" si="3"/>
        <v>1600</v>
      </c>
    </row>
    <row r="84" spans="1:11" ht="16.5" customHeight="1" thickBot="1" x14ac:dyDescent="0.3">
      <c r="A84" s="279"/>
      <c r="B84" s="551"/>
      <c r="C84" s="629"/>
      <c r="D84" s="638"/>
      <c r="E84" s="56" t="s">
        <v>447</v>
      </c>
      <c r="F84" s="32" t="s">
        <v>448</v>
      </c>
      <c r="G84" s="15">
        <v>9</v>
      </c>
      <c r="H84" s="59">
        <f>'TABLA GENERAL'!D136</f>
        <v>485</v>
      </c>
      <c r="I84" s="115">
        <f t="shared" si="4"/>
        <v>4365</v>
      </c>
      <c r="J84" s="19">
        <v>2</v>
      </c>
      <c r="K84" s="60">
        <f t="shared" si="3"/>
        <v>970</v>
      </c>
    </row>
    <row r="85" spans="1:11" ht="16.5" customHeight="1" thickBot="1" x14ac:dyDescent="0.3">
      <c r="A85" s="279"/>
      <c r="B85" s="551"/>
      <c r="C85" s="629"/>
      <c r="D85" s="638"/>
      <c r="E85" s="56" t="s">
        <v>69</v>
      </c>
      <c r="F85" s="32" t="s">
        <v>68</v>
      </c>
      <c r="G85" s="15">
        <v>83</v>
      </c>
      <c r="H85" s="59">
        <f>'TABLA GENERAL'!D137</f>
        <v>3800</v>
      </c>
      <c r="I85" s="115">
        <f t="shared" si="4"/>
        <v>315400</v>
      </c>
      <c r="J85" s="19">
        <v>14</v>
      </c>
      <c r="K85" s="60">
        <f t="shared" si="3"/>
        <v>53200</v>
      </c>
    </row>
    <row r="86" spans="1:11" ht="16.5" customHeight="1" thickBot="1" x14ac:dyDescent="0.3">
      <c r="A86" s="279"/>
      <c r="B86" s="551"/>
      <c r="C86" s="629"/>
      <c r="D86" s="638"/>
      <c r="E86" s="56" t="s">
        <v>449</v>
      </c>
      <c r="F86" s="32" t="s">
        <v>450</v>
      </c>
      <c r="G86" s="15">
        <v>7</v>
      </c>
      <c r="H86" s="59">
        <f>'TABLA GENERAL'!D138</f>
        <v>1246</v>
      </c>
      <c r="I86" s="115">
        <f t="shared" si="4"/>
        <v>8722</v>
      </c>
      <c r="J86" s="19">
        <v>3</v>
      </c>
      <c r="K86" s="60">
        <f t="shared" si="3"/>
        <v>3738</v>
      </c>
    </row>
    <row r="87" spans="1:11" ht="16.5" customHeight="1" thickBot="1" x14ac:dyDescent="0.3">
      <c r="A87" s="279"/>
      <c r="B87" s="551"/>
      <c r="C87" s="629"/>
      <c r="D87" s="638"/>
      <c r="E87" s="56" t="s">
        <v>451</v>
      </c>
      <c r="F87" s="32" t="s">
        <v>452</v>
      </c>
      <c r="G87" s="15">
        <v>126</v>
      </c>
      <c r="H87" s="59">
        <f>'TABLA GENERAL'!D139</f>
        <v>65</v>
      </c>
      <c r="I87" s="115">
        <f t="shared" si="4"/>
        <v>8190</v>
      </c>
      <c r="J87" s="19">
        <v>28</v>
      </c>
      <c r="K87" s="60">
        <f t="shared" si="3"/>
        <v>1820</v>
      </c>
    </row>
    <row r="88" spans="1:11" ht="16.5" customHeight="1" thickBot="1" x14ac:dyDescent="0.3">
      <c r="A88" s="279"/>
      <c r="B88" s="551"/>
      <c r="C88" s="629"/>
      <c r="D88" s="550" t="s">
        <v>453</v>
      </c>
      <c r="E88" s="56" t="s">
        <v>454</v>
      </c>
      <c r="F88" s="32" t="s">
        <v>455</v>
      </c>
      <c r="G88" s="15">
        <v>9</v>
      </c>
      <c r="H88" s="59">
        <f>'TABLA GENERAL'!D140</f>
        <v>46</v>
      </c>
      <c r="I88" s="115">
        <f t="shared" si="4"/>
        <v>414</v>
      </c>
      <c r="J88" s="19">
        <v>4</v>
      </c>
      <c r="K88" s="60">
        <f t="shared" si="3"/>
        <v>184</v>
      </c>
    </row>
    <row r="89" spans="1:11" ht="16.5" customHeight="1" thickBot="1" x14ac:dyDescent="0.3">
      <c r="A89" s="279"/>
      <c r="B89" s="551"/>
      <c r="C89" s="629"/>
      <c r="D89" s="551"/>
      <c r="E89" s="56" t="s">
        <v>456</v>
      </c>
      <c r="F89" s="32" t="s">
        <v>457</v>
      </c>
      <c r="G89" s="15">
        <v>68</v>
      </c>
      <c r="H89" s="59">
        <f>'TABLA GENERAL'!D141</f>
        <v>8469.75</v>
      </c>
      <c r="I89" s="115">
        <f t="shared" si="4"/>
        <v>575943</v>
      </c>
      <c r="J89" s="19">
        <v>14</v>
      </c>
      <c r="K89" s="60">
        <f t="shared" si="3"/>
        <v>118576.5</v>
      </c>
    </row>
    <row r="90" spans="1:11" ht="16.5" customHeight="1" thickBot="1" x14ac:dyDescent="0.3">
      <c r="A90" s="279"/>
      <c r="B90" s="551"/>
      <c r="C90" s="629"/>
      <c r="D90" s="551"/>
      <c r="E90" s="56" t="s">
        <v>458</v>
      </c>
      <c r="F90" s="32" t="s">
        <v>459</v>
      </c>
      <c r="G90" s="15">
        <v>5</v>
      </c>
      <c r="H90" s="59">
        <f>'TABLA GENERAL'!D142</f>
        <v>2770</v>
      </c>
      <c r="I90" s="115">
        <f t="shared" si="4"/>
        <v>13850</v>
      </c>
      <c r="J90" s="19">
        <v>3</v>
      </c>
      <c r="K90" s="60">
        <f t="shared" si="3"/>
        <v>8310</v>
      </c>
    </row>
    <row r="91" spans="1:11" ht="16.5" customHeight="1" thickBot="1" x14ac:dyDescent="0.3">
      <c r="A91" s="279"/>
      <c r="B91" s="551"/>
      <c r="C91" s="629"/>
      <c r="D91" s="551"/>
      <c r="E91" s="56" t="s">
        <v>460</v>
      </c>
      <c r="F91" s="32" t="s">
        <v>461</v>
      </c>
      <c r="G91" s="15">
        <v>18</v>
      </c>
      <c r="H91" s="59">
        <f>'TABLA GENERAL'!D143</f>
        <v>295</v>
      </c>
      <c r="I91" s="115">
        <f t="shared" si="4"/>
        <v>5310</v>
      </c>
      <c r="J91" s="19">
        <v>8</v>
      </c>
      <c r="K91" s="60">
        <f t="shared" si="3"/>
        <v>2360</v>
      </c>
    </row>
    <row r="92" spans="1:11" ht="16.5" customHeight="1" thickBot="1" x14ac:dyDescent="0.3">
      <c r="A92" s="279"/>
      <c r="B92" s="551"/>
      <c r="C92" s="629"/>
      <c r="D92" s="551"/>
      <c r="E92" s="56" t="s">
        <v>462</v>
      </c>
      <c r="F92" s="32" t="s">
        <v>463</v>
      </c>
      <c r="G92" s="15">
        <v>10</v>
      </c>
      <c r="H92" s="59">
        <f>'TABLA GENERAL'!D144</f>
        <v>3800</v>
      </c>
      <c r="I92" s="115">
        <f t="shared" si="4"/>
        <v>38000</v>
      </c>
      <c r="J92" s="19">
        <v>4</v>
      </c>
      <c r="K92" s="60">
        <f t="shared" si="3"/>
        <v>15200</v>
      </c>
    </row>
    <row r="93" spans="1:11" ht="16.5" customHeight="1" thickBot="1" x14ac:dyDescent="0.3">
      <c r="A93" s="279"/>
      <c r="B93" s="551"/>
      <c r="C93" s="629"/>
      <c r="D93" s="551"/>
      <c r="E93" s="56" t="s">
        <v>464</v>
      </c>
      <c r="F93" s="32" t="s">
        <v>465</v>
      </c>
      <c r="G93" s="15">
        <v>13</v>
      </c>
      <c r="H93" s="59">
        <f>'TABLA GENERAL'!D145</f>
        <v>1100</v>
      </c>
      <c r="I93" s="115">
        <f t="shared" si="4"/>
        <v>14300</v>
      </c>
      <c r="J93" s="19">
        <v>6</v>
      </c>
      <c r="K93" s="60">
        <f t="shared" si="3"/>
        <v>6600</v>
      </c>
    </row>
    <row r="94" spans="1:11" ht="16.5" customHeight="1" thickBot="1" x14ac:dyDescent="0.3">
      <c r="A94" s="279"/>
      <c r="B94" s="551"/>
      <c r="C94" s="629"/>
      <c r="D94" s="551"/>
      <c r="E94" s="56" t="s">
        <v>466</v>
      </c>
      <c r="F94" s="32" t="s">
        <v>467</v>
      </c>
      <c r="G94" s="15">
        <v>13</v>
      </c>
      <c r="H94" s="59">
        <f>'TABLA GENERAL'!D146</f>
        <v>1600</v>
      </c>
      <c r="I94" s="115">
        <f t="shared" si="4"/>
        <v>20800</v>
      </c>
      <c r="J94" s="19">
        <v>6</v>
      </c>
      <c r="K94" s="60">
        <f t="shared" si="3"/>
        <v>9600</v>
      </c>
    </row>
    <row r="95" spans="1:11" ht="24" customHeight="1" thickBot="1" x14ac:dyDescent="0.3">
      <c r="A95" s="279"/>
      <c r="B95" s="551"/>
      <c r="C95" s="629"/>
      <c r="D95" s="551"/>
      <c r="E95" s="56" t="s">
        <v>468</v>
      </c>
      <c r="F95" s="32" t="s">
        <v>469</v>
      </c>
      <c r="G95" s="15">
        <v>50</v>
      </c>
      <c r="H95" s="59">
        <f>'TABLA GENERAL'!D147</f>
        <v>3</v>
      </c>
      <c r="I95" s="115">
        <f t="shared" si="4"/>
        <v>150</v>
      </c>
      <c r="J95" s="19">
        <v>42</v>
      </c>
      <c r="K95" s="60">
        <f t="shared" si="3"/>
        <v>126</v>
      </c>
    </row>
    <row r="96" spans="1:11" ht="16.5" customHeight="1" thickBot="1" x14ac:dyDescent="0.3">
      <c r="A96" s="279"/>
      <c r="B96" s="552"/>
      <c r="C96" s="629"/>
      <c r="D96" s="551"/>
      <c r="E96" s="56" t="s">
        <v>470</v>
      </c>
      <c r="F96" s="32" t="s">
        <v>471</v>
      </c>
      <c r="G96" s="15">
        <v>4</v>
      </c>
      <c r="H96" s="59">
        <f>'TABLA GENERAL'!D148</f>
        <v>2450</v>
      </c>
      <c r="I96" s="115">
        <f t="shared" si="4"/>
        <v>9800</v>
      </c>
      <c r="J96" s="19">
        <v>2</v>
      </c>
      <c r="K96" s="60">
        <f t="shared" si="3"/>
        <v>4900</v>
      </c>
    </row>
    <row r="97" spans="1:11" ht="16.5" customHeight="1" thickBot="1" x14ac:dyDescent="0.3">
      <c r="A97" s="280"/>
      <c r="B97" s="280"/>
      <c r="C97" s="635"/>
      <c r="D97" s="552"/>
      <c r="E97" s="56" t="s">
        <v>65</v>
      </c>
      <c r="F97" s="32" t="s">
        <v>64</v>
      </c>
      <c r="G97" s="15">
        <v>4</v>
      </c>
      <c r="H97" s="59">
        <f>'TABLA GENERAL'!D149</f>
        <v>3250</v>
      </c>
      <c r="I97" s="115">
        <f>G97*H97</f>
        <v>13000</v>
      </c>
      <c r="J97" s="19">
        <v>1</v>
      </c>
      <c r="K97" s="60">
        <f t="shared" si="3"/>
        <v>3250</v>
      </c>
    </row>
    <row r="98" spans="1:11" thickBot="1" x14ac:dyDescent="0.35">
      <c r="A98" s="112"/>
      <c r="B98" s="112"/>
      <c r="C98" s="112"/>
      <c r="D98" s="124"/>
      <c r="E98" s="112"/>
      <c r="F98" s="112" t="s">
        <v>472</v>
      </c>
      <c r="G98" s="112"/>
      <c r="H98" s="112"/>
      <c r="I98" s="118">
        <f>SUM(I11:I97)</f>
        <v>6786964.1161538456</v>
      </c>
      <c r="J98" s="112"/>
      <c r="K98" s="119">
        <f>SUM(K11:K97)</f>
        <v>1524793.6015384616</v>
      </c>
    </row>
    <row r="100" spans="1:11" thickBot="1" x14ac:dyDescent="0.35"/>
    <row r="101" spans="1:11" ht="47.25" customHeight="1" thickBot="1" x14ac:dyDescent="0.3">
      <c r="B101" s="195"/>
      <c r="C101" s="195"/>
      <c r="D101" s="195"/>
      <c r="E101" s="195"/>
      <c r="F101" s="617" t="s">
        <v>473</v>
      </c>
      <c r="G101" s="618"/>
      <c r="H101" s="618"/>
      <c r="I101" s="618"/>
      <c r="J101" s="618"/>
      <c r="K101" s="618"/>
    </row>
    <row r="102" spans="1:11" ht="28.15" thickBot="1" x14ac:dyDescent="0.35">
      <c r="A102" s="335" t="s">
        <v>228</v>
      </c>
      <c r="B102" s="335"/>
      <c r="C102" s="335"/>
      <c r="D102" s="335"/>
      <c r="E102" s="335"/>
      <c r="F102" s="335" t="s">
        <v>85</v>
      </c>
      <c r="G102" s="335" t="s">
        <v>229</v>
      </c>
      <c r="H102" s="335" t="s">
        <v>123</v>
      </c>
      <c r="I102" s="113" t="s">
        <v>230</v>
      </c>
      <c r="J102" s="335">
        <v>2025</v>
      </c>
      <c r="K102" s="335" t="s">
        <v>79</v>
      </c>
    </row>
    <row r="103" spans="1:11" ht="18" customHeight="1" thickBot="1" x14ac:dyDescent="0.3">
      <c r="A103" s="558" t="s">
        <v>473</v>
      </c>
      <c r="B103" s="550" t="s">
        <v>474</v>
      </c>
      <c r="C103" s="627" t="s">
        <v>475</v>
      </c>
      <c r="D103" s="628"/>
      <c r="E103" s="56" t="s">
        <v>476</v>
      </c>
      <c r="F103" s="48" t="s">
        <v>477</v>
      </c>
      <c r="G103" s="47">
        <v>118</v>
      </c>
      <c r="H103" s="72">
        <f>'TABLA GENERAL'!D159</f>
        <v>260</v>
      </c>
      <c r="I103" s="114">
        <f>H103*G103</f>
        <v>30680</v>
      </c>
      <c r="J103" s="20">
        <v>14</v>
      </c>
      <c r="K103" s="60">
        <f t="shared" ref="K103:K132" si="5">J103*H103</f>
        <v>3640</v>
      </c>
    </row>
    <row r="104" spans="1:11" ht="18" customHeight="1" thickBot="1" x14ac:dyDescent="0.3">
      <c r="A104" s="559" t="s">
        <v>473</v>
      </c>
      <c r="B104" s="551"/>
      <c r="C104" s="629"/>
      <c r="D104" s="630"/>
      <c r="E104" s="56" t="s">
        <v>478</v>
      </c>
      <c r="F104" s="32" t="s">
        <v>479</v>
      </c>
      <c r="G104" s="15">
        <v>92</v>
      </c>
      <c r="H104" s="72">
        <f>'TABLA GENERAL'!D160</f>
        <v>84</v>
      </c>
      <c r="I104" s="114">
        <f t="shared" ref="I104:I132" si="6">H104*G104</f>
        <v>7728</v>
      </c>
      <c r="J104" s="15">
        <v>14</v>
      </c>
      <c r="K104" s="60">
        <f t="shared" si="5"/>
        <v>1176</v>
      </c>
    </row>
    <row r="105" spans="1:11" ht="18" customHeight="1" thickBot="1" x14ac:dyDescent="0.3">
      <c r="A105" s="559" t="s">
        <v>473</v>
      </c>
      <c r="B105" s="551"/>
      <c r="C105" s="629"/>
      <c r="D105" s="630"/>
      <c r="E105" s="56" t="s">
        <v>480</v>
      </c>
      <c r="F105" s="32" t="s">
        <v>481</v>
      </c>
      <c r="G105" s="15">
        <v>111</v>
      </c>
      <c r="H105" s="72">
        <f>'TABLA GENERAL'!D161</f>
        <v>29</v>
      </c>
      <c r="I105" s="114">
        <f t="shared" si="6"/>
        <v>3219</v>
      </c>
      <c r="J105" s="15">
        <v>14</v>
      </c>
      <c r="K105" s="60">
        <f t="shared" si="5"/>
        <v>406</v>
      </c>
    </row>
    <row r="106" spans="1:11" ht="18" customHeight="1" thickBot="1" x14ac:dyDescent="0.3">
      <c r="A106" s="559" t="s">
        <v>473</v>
      </c>
      <c r="B106" s="551"/>
      <c r="C106" s="629"/>
      <c r="D106" s="630"/>
      <c r="E106" s="56" t="s">
        <v>482</v>
      </c>
      <c r="F106" s="32" t="s">
        <v>483</v>
      </c>
      <c r="G106" s="15">
        <v>120</v>
      </c>
      <c r="H106" s="72">
        <f>'TABLA GENERAL'!D162</f>
        <v>32</v>
      </c>
      <c r="I106" s="114">
        <f t="shared" si="6"/>
        <v>3840</v>
      </c>
      <c r="J106" s="15">
        <v>14</v>
      </c>
      <c r="K106" s="60">
        <f t="shared" si="5"/>
        <v>448</v>
      </c>
    </row>
    <row r="107" spans="1:11" ht="18" customHeight="1" thickBot="1" x14ac:dyDescent="0.3">
      <c r="A107" s="559" t="s">
        <v>473</v>
      </c>
      <c r="B107" s="551"/>
      <c r="C107" s="629"/>
      <c r="D107" s="630"/>
      <c r="E107" s="56" t="s">
        <v>484</v>
      </c>
      <c r="F107" s="32" t="s">
        <v>485</v>
      </c>
      <c r="G107" s="15">
        <v>115</v>
      </c>
      <c r="H107" s="72">
        <f>'TABLA GENERAL'!D163</f>
        <v>78</v>
      </c>
      <c r="I107" s="114">
        <f t="shared" si="6"/>
        <v>8970</v>
      </c>
      <c r="J107" s="15">
        <v>14</v>
      </c>
      <c r="K107" s="60">
        <f t="shared" si="5"/>
        <v>1092</v>
      </c>
    </row>
    <row r="108" spans="1:11" ht="15.75" thickBot="1" x14ac:dyDescent="0.3">
      <c r="A108" s="559" t="s">
        <v>473</v>
      </c>
      <c r="B108" s="551"/>
      <c r="C108" s="629"/>
      <c r="D108" s="630"/>
      <c r="E108" s="56" t="s">
        <v>486</v>
      </c>
      <c r="F108" s="32" t="s">
        <v>487</v>
      </c>
      <c r="G108" s="15">
        <v>120</v>
      </c>
      <c r="H108" s="72">
        <f>'TABLA GENERAL'!D164</f>
        <v>52</v>
      </c>
      <c r="I108" s="114">
        <f t="shared" si="6"/>
        <v>6240</v>
      </c>
      <c r="J108" s="15">
        <v>14</v>
      </c>
      <c r="K108" s="60">
        <f t="shared" si="5"/>
        <v>728</v>
      </c>
    </row>
    <row r="109" spans="1:11" ht="15.75" thickBot="1" x14ac:dyDescent="0.3">
      <c r="A109" s="559" t="s">
        <v>473</v>
      </c>
      <c r="B109" s="551"/>
      <c r="C109" s="629"/>
      <c r="D109" s="630"/>
      <c r="E109" s="56" t="s">
        <v>488</v>
      </c>
      <c r="F109" s="32" t="s">
        <v>489</v>
      </c>
      <c r="G109" s="15">
        <v>95</v>
      </c>
      <c r="H109" s="72">
        <f>'TABLA GENERAL'!D165</f>
        <v>201</v>
      </c>
      <c r="I109" s="114">
        <f t="shared" si="6"/>
        <v>19095</v>
      </c>
      <c r="J109" s="15">
        <v>14</v>
      </c>
      <c r="K109" s="60">
        <f t="shared" si="5"/>
        <v>2814</v>
      </c>
    </row>
    <row r="110" spans="1:11" ht="15.75" thickBot="1" x14ac:dyDescent="0.3">
      <c r="A110" s="559" t="s">
        <v>473</v>
      </c>
      <c r="B110" s="551"/>
      <c r="C110" s="629"/>
      <c r="D110" s="630"/>
      <c r="E110" s="56" t="s">
        <v>490</v>
      </c>
      <c r="F110" s="32" t="s">
        <v>491</v>
      </c>
      <c r="G110" s="15">
        <v>117</v>
      </c>
      <c r="H110" s="72">
        <f>'TABLA GENERAL'!D166</f>
        <v>60</v>
      </c>
      <c r="I110" s="114">
        <f t="shared" si="6"/>
        <v>7020</v>
      </c>
      <c r="J110" s="15">
        <v>14</v>
      </c>
      <c r="K110" s="60">
        <f t="shared" si="5"/>
        <v>840</v>
      </c>
    </row>
    <row r="111" spans="1:11" ht="30.75" thickBot="1" x14ac:dyDescent="0.3">
      <c r="A111" s="559" t="s">
        <v>473</v>
      </c>
      <c r="B111" s="551"/>
      <c r="C111" s="629"/>
      <c r="D111" s="630"/>
      <c r="E111" s="56" t="s">
        <v>120</v>
      </c>
      <c r="F111" s="32" t="s">
        <v>119</v>
      </c>
      <c r="G111" s="15">
        <v>68</v>
      </c>
      <c r="H111" s="72">
        <f>'TABLA GENERAL'!D167</f>
        <v>3202</v>
      </c>
      <c r="I111" s="114">
        <f t="shared" si="6"/>
        <v>217736</v>
      </c>
      <c r="J111" s="15">
        <v>14</v>
      </c>
      <c r="K111" s="60">
        <f t="shared" si="5"/>
        <v>44828</v>
      </c>
    </row>
    <row r="112" spans="1:11" ht="15.75" thickBot="1" x14ac:dyDescent="0.3">
      <c r="A112" s="559" t="s">
        <v>473</v>
      </c>
      <c r="B112" s="551"/>
      <c r="C112" s="629"/>
      <c r="D112" s="630"/>
      <c r="E112" s="56" t="s">
        <v>117</v>
      </c>
      <c r="F112" s="32" t="s">
        <v>116</v>
      </c>
      <c r="G112" s="15">
        <v>5</v>
      </c>
      <c r="H112" s="72">
        <f>'TABLA GENERAL'!D168</f>
        <v>12096</v>
      </c>
      <c r="I112" s="114">
        <f t="shared" si="6"/>
        <v>60480</v>
      </c>
      <c r="J112" s="15">
        <v>5</v>
      </c>
      <c r="K112" s="60">
        <f t="shared" si="5"/>
        <v>60480</v>
      </c>
    </row>
    <row r="113" spans="1:11" ht="15.75" thickBot="1" x14ac:dyDescent="0.3">
      <c r="A113" s="559" t="s">
        <v>473</v>
      </c>
      <c r="B113" s="551"/>
      <c r="C113" s="629"/>
      <c r="D113" s="630"/>
      <c r="E113" s="56" t="s">
        <v>115</v>
      </c>
      <c r="F113" s="32" t="s">
        <v>114</v>
      </c>
      <c r="G113" s="15">
        <v>56</v>
      </c>
      <c r="H113" s="72">
        <f>'TABLA GENERAL'!D169</f>
        <v>3600</v>
      </c>
      <c r="I113" s="114">
        <f t="shared" si="6"/>
        <v>201600</v>
      </c>
      <c r="J113" s="15">
        <v>10</v>
      </c>
      <c r="K113" s="60">
        <f t="shared" si="5"/>
        <v>36000</v>
      </c>
    </row>
    <row r="114" spans="1:11" ht="15.75" thickBot="1" x14ac:dyDescent="0.3">
      <c r="A114" s="559" t="s">
        <v>473</v>
      </c>
      <c r="B114" s="551"/>
      <c r="C114" s="629"/>
      <c r="D114" s="630"/>
      <c r="E114" s="56" t="s">
        <v>492</v>
      </c>
      <c r="F114" s="32" t="s">
        <v>493</v>
      </c>
      <c r="G114" s="15">
        <v>28</v>
      </c>
      <c r="H114" s="72">
        <f>'TABLA GENERAL'!D170</f>
        <v>274</v>
      </c>
      <c r="I114" s="114">
        <f t="shared" si="6"/>
        <v>7672</v>
      </c>
      <c r="J114" s="15">
        <v>0</v>
      </c>
      <c r="K114" s="60">
        <f t="shared" si="5"/>
        <v>0</v>
      </c>
    </row>
    <row r="115" spans="1:11" ht="15.75" thickBot="1" x14ac:dyDescent="0.3">
      <c r="A115" s="559" t="s">
        <v>473</v>
      </c>
      <c r="B115" s="551"/>
      <c r="C115" s="629"/>
      <c r="D115" s="630"/>
      <c r="E115" s="56" t="s">
        <v>494</v>
      </c>
      <c r="F115" s="32" t="s">
        <v>495</v>
      </c>
      <c r="G115" s="15">
        <v>49</v>
      </c>
      <c r="H115" s="72">
        <f>'TABLA GENERAL'!D171</f>
        <v>1778</v>
      </c>
      <c r="I115" s="114">
        <f t="shared" si="6"/>
        <v>87122</v>
      </c>
      <c r="J115" s="15">
        <v>12</v>
      </c>
      <c r="K115" s="60">
        <f t="shared" si="5"/>
        <v>21336</v>
      </c>
    </row>
    <row r="116" spans="1:11" ht="15.75" thickBot="1" x14ac:dyDescent="0.3">
      <c r="A116" s="559" t="s">
        <v>473</v>
      </c>
      <c r="B116" s="551"/>
      <c r="C116" s="629"/>
      <c r="D116" s="630"/>
      <c r="E116" s="56" t="s">
        <v>496</v>
      </c>
      <c r="F116" s="32" t="s">
        <v>497</v>
      </c>
      <c r="G116" s="15">
        <v>22</v>
      </c>
      <c r="H116" s="72">
        <f>'TABLA GENERAL'!D172</f>
        <v>154</v>
      </c>
      <c r="I116" s="114">
        <f t="shared" si="6"/>
        <v>3388</v>
      </c>
      <c r="J116" s="15">
        <v>22</v>
      </c>
      <c r="K116" s="60">
        <f t="shared" si="5"/>
        <v>3388</v>
      </c>
    </row>
    <row r="117" spans="1:11" ht="15.75" thickBot="1" x14ac:dyDescent="0.3">
      <c r="A117" s="559" t="s">
        <v>473</v>
      </c>
      <c r="B117" s="551"/>
      <c r="C117" s="629"/>
      <c r="D117" s="630"/>
      <c r="E117" s="56" t="s">
        <v>498</v>
      </c>
      <c r="F117" s="32" t="s">
        <v>499</v>
      </c>
      <c r="G117" s="15">
        <v>2</v>
      </c>
      <c r="H117" s="59">
        <f>'TABLA GENERAL'!D176</f>
        <v>256</v>
      </c>
      <c r="I117" s="114">
        <f t="shared" si="6"/>
        <v>512</v>
      </c>
      <c r="J117" s="15">
        <v>2</v>
      </c>
      <c r="K117" s="60">
        <f t="shared" si="5"/>
        <v>512</v>
      </c>
    </row>
    <row r="118" spans="1:11" ht="15.75" thickBot="1" x14ac:dyDescent="0.3">
      <c r="A118" s="559" t="s">
        <v>473</v>
      </c>
      <c r="B118" s="551"/>
      <c r="C118" s="629"/>
      <c r="D118" s="630"/>
      <c r="E118" s="56" t="s">
        <v>500</v>
      </c>
      <c r="F118" s="32" t="s">
        <v>501</v>
      </c>
      <c r="G118" s="15">
        <v>2</v>
      </c>
      <c r="H118" s="59">
        <f>'TABLA GENERAL'!D177</f>
        <v>72</v>
      </c>
      <c r="I118" s="114">
        <f t="shared" si="6"/>
        <v>144</v>
      </c>
      <c r="J118" s="15">
        <v>2</v>
      </c>
      <c r="K118" s="60">
        <f t="shared" si="5"/>
        <v>144</v>
      </c>
    </row>
    <row r="119" spans="1:11" ht="15.75" thickBot="1" x14ac:dyDescent="0.3">
      <c r="A119" s="559"/>
      <c r="B119" s="551"/>
      <c r="C119" s="629"/>
      <c r="D119" s="630"/>
      <c r="E119" s="56" t="s">
        <v>113</v>
      </c>
      <c r="F119" s="57" t="s">
        <v>112</v>
      </c>
      <c r="G119" s="51">
        <v>54</v>
      </c>
      <c r="H119" s="71">
        <f>'TABLA GENERAL'!D190</f>
        <v>450</v>
      </c>
      <c r="I119" s="114">
        <f t="shared" si="6"/>
        <v>24300</v>
      </c>
      <c r="J119" s="51">
        <v>14</v>
      </c>
      <c r="K119" s="60">
        <f t="shared" si="5"/>
        <v>6300</v>
      </c>
    </row>
    <row r="120" spans="1:11" ht="15.75" thickBot="1" x14ac:dyDescent="0.3">
      <c r="A120" s="559" t="s">
        <v>473</v>
      </c>
      <c r="B120" s="551"/>
      <c r="C120" s="629"/>
      <c r="D120" s="630"/>
      <c r="E120" s="56" t="s">
        <v>109</v>
      </c>
      <c r="F120" s="32" t="s">
        <v>108</v>
      </c>
      <c r="G120" s="15">
        <v>36</v>
      </c>
      <c r="H120" s="59">
        <f>'TABLA GENERAL'!D178</f>
        <v>3305</v>
      </c>
      <c r="I120" s="114">
        <f t="shared" si="6"/>
        <v>118980</v>
      </c>
      <c r="J120" s="15">
        <v>10</v>
      </c>
      <c r="K120" s="60">
        <f t="shared" si="5"/>
        <v>33050</v>
      </c>
    </row>
    <row r="121" spans="1:11" ht="15.75" thickBot="1" x14ac:dyDescent="0.3">
      <c r="A121" s="559" t="s">
        <v>473</v>
      </c>
      <c r="B121" s="551"/>
      <c r="C121" s="629"/>
      <c r="D121" s="630"/>
      <c r="E121" s="56" t="s">
        <v>502</v>
      </c>
      <c r="F121" s="32" t="s">
        <v>503</v>
      </c>
      <c r="G121" s="15">
        <v>8</v>
      </c>
      <c r="H121" s="59">
        <f>'TABLA GENERAL'!D179</f>
        <v>403</v>
      </c>
      <c r="I121" s="114">
        <f t="shared" si="6"/>
        <v>3224</v>
      </c>
      <c r="J121" s="15">
        <v>4</v>
      </c>
      <c r="K121" s="60">
        <f t="shared" si="5"/>
        <v>1612</v>
      </c>
    </row>
    <row r="122" spans="1:11" ht="15.75" thickBot="1" x14ac:dyDescent="0.3">
      <c r="A122" s="559" t="s">
        <v>473</v>
      </c>
      <c r="B122" s="551"/>
      <c r="C122" s="629"/>
      <c r="D122" s="630"/>
      <c r="E122" s="56" t="s">
        <v>504</v>
      </c>
      <c r="F122" s="32" t="s">
        <v>505</v>
      </c>
      <c r="G122" s="15">
        <v>10</v>
      </c>
      <c r="H122" s="59">
        <f>'TABLA GENERAL'!D180</f>
        <v>140</v>
      </c>
      <c r="I122" s="114">
        <f t="shared" si="6"/>
        <v>1400</v>
      </c>
      <c r="J122" s="15">
        <v>10</v>
      </c>
      <c r="K122" s="60">
        <f t="shared" si="5"/>
        <v>1400</v>
      </c>
    </row>
    <row r="123" spans="1:11" ht="15.75" thickBot="1" x14ac:dyDescent="0.3">
      <c r="A123" s="559" t="s">
        <v>473</v>
      </c>
      <c r="B123" s="551"/>
      <c r="C123" s="629"/>
      <c r="D123" s="630"/>
      <c r="E123" s="56" t="s">
        <v>506</v>
      </c>
      <c r="F123" s="32" t="s">
        <v>507</v>
      </c>
      <c r="G123" s="15">
        <v>56</v>
      </c>
      <c r="H123" s="59">
        <v>135</v>
      </c>
      <c r="I123" s="114">
        <f t="shared" si="6"/>
        <v>7560</v>
      </c>
      <c r="J123" s="15">
        <v>14</v>
      </c>
      <c r="K123" s="60">
        <f t="shared" si="5"/>
        <v>1890</v>
      </c>
    </row>
    <row r="124" spans="1:11" ht="15.75" thickBot="1" x14ac:dyDescent="0.3">
      <c r="A124" s="559" t="s">
        <v>473</v>
      </c>
      <c r="B124" s="551"/>
      <c r="C124" s="629"/>
      <c r="D124" s="630"/>
      <c r="E124" s="56" t="s">
        <v>508</v>
      </c>
      <c r="F124" s="32" t="s">
        <v>509</v>
      </c>
      <c r="G124" s="15">
        <v>56</v>
      </c>
      <c r="H124" s="59">
        <f>'TABLA GENERAL'!D183</f>
        <v>210</v>
      </c>
      <c r="I124" s="114">
        <f t="shared" si="6"/>
        <v>11760</v>
      </c>
      <c r="J124" s="15">
        <v>14</v>
      </c>
      <c r="K124" s="60">
        <f t="shared" si="5"/>
        <v>2940</v>
      </c>
    </row>
    <row r="125" spans="1:11" ht="15.75" thickBot="1" x14ac:dyDescent="0.3">
      <c r="A125" s="559" t="s">
        <v>473</v>
      </c>
      <c r="B125" s="551"/>
      <c r="C125" s="629"/>
      <c r="D125" s="630"/>
      <c r="E125" s="56" t="s">
        <v>510</v>
      </c>
      <c r="F125" s="32" t="s">
        <v>499</v>
      </c>
      <c r="G125" s="15">
        <v>9</v>
      </c>
      <c r="H125" s="59">
        <f>'TABLA GENERAL'!D184</f>
        <v>964.61538461538464</v>
      </c>
      <c r="I125" s="114">
        <f t="shared" si="6"/>
        <v>8681.538461538461</v>
      </c>
      <c r="J125" s="15">
        <v>4</v>
      </c>
      <c r="K125" s="60">
        <f t="shared" si="5"/>
        <v>3858.4615384615386</v>
      </c>
    </row>
    <row r="126" spans="1:11" ht="15.75" thickBot="1" x14ac:dyDescent="0.3">
      <c r="A126" s="559" t="s">
        <v>473</v>
      </c>
      <c r="B126" s="551"/>
      <c r="C126" s="631"/>
      <c r="D126" s="632"/>
      <c r="E126" s="56" t="s">
        <v>111</v>
      </c>
      <c r="F126" s="32" t="s">
        <v>110</v>
      </c>
      <c r="G126" s="15">
        <v>4</v>
      </c>
      <c r="H126" s="59">
        <f>'TABLA GENERAL'!D185</f>
        <v>5572</v>
      </c>
      <c r="I126" s="114">
        <f t="shared" si="6"/>
        <v>22288</v>
      </c>
      <c r="J126" s="15">
        <v>4</v>
      </c>
      <c r="K126" s="60">
        <f t="shared" si="5"/>
        <v>22288</v>
      </c>
    </row>
    <row r="127" spans="1:11" ht="16.5" customHeight="1" thickBot="1" x14ac:dyDescent="0.3">
      <c r="A127" s="559" t="s">
        <v>473</v>
      </c>
      <c r="B127" s="551"/>
      <c r="C127" s="633" t="s">
        <v>511</v>
      </c>
      <c r="D127" s="634"/>
      <c r="E127" s="56" t="s">
        <v>512</v>
      </c>
      <c r="F127" s="32" t="s">
        <v>513</v>
      </c>
      <c r="G127" s="15">
        <v>20</v>
      </c>
      <c r="H127" s="59">
        <f>'TABLA GENERAL'!D186</f>
        <v>1200</v>
      </c>
      <c r="I127" s="114">
        <f t="shared" si="6"/>
        <v>24000</v>
      </c>
      <c r="J127" s="15">
        <v>2</v>
      </c>
      <c r="K127" s="60">
        <f t="shared" si="5"/>
        <v>2400</v>
      </c>
    </row>
    <row r="128" spans="1:11" ht="15.75" thickBot="1" x14ac:dyDescent="0.3">
      <c r="A128" s="559" t="s">
        <v>473</v>
      </c>
      <c r="B128" s="551"/>
      <c r="C128" s="629"/>
      <c r="D128" s="630"/>
      <c r="E128" s="56" t="s">
        <v>105</v>
      </c>
      <c r="F128" s="32" t="s">
        <v>104</v>
      </c>
      <c r="G128" s="15">
        <v>1</v>
      </c>
      <c r="H128" s="59">
        <f>'TABLA GENERAL'!D187</f>
        <v>19274</v>
      </c>
      <c r="I128" s="114">
        <f t="shared" si="6"/>
        <v>19274</v>
      </c>
      <c r="J128" s="15">
        <v>1</v>
      </c>
      <c r="K128" s="60">
        <f t="shared" si="5"/>
        <v>19274</v>
      </c>
    </row>
    <row r="129" spans="1:11" ht="15.75" thickBot="1" x14ac:dyDescent="0.3">
      <c r="A129" s="559"/>
      <c r="B129" s="551"/>
      <c r="C129" s="629"/>
      <c r="D129" s="630"/>
      <c r="E129" s="56" t="s">
        <v>103</v>
      </c>
      <c r="F129" s="32" t="s">
        <v>102</v>
      </c>
      <c r="G129" s="15">
        <v>13</v>
      </c>
      <c r="H129" s="59">
        <f>'TABLA GENERAL'!D173</f>
        <v>13144</v>
      </c>
      <c r="I129" s="114">
        <f t="shared" si="6"/>
        <v>170872</v>
      </c>
      <c r="J129" s="15">
        <v>4</v>
      </c>
      <c r="K129" s="60">
        <f t="shared" si="5"/>
        <v>52576</v>
      </c>
    </row>
    <row r="130" spans="1:11" ht="15.75" thickBot="1" x14ac:dyDescent="0.3">
      <c r="A130" s="559"/>
      <c r="B130" s="551"/>
      <c r="C130" s="629"/>
      <c r="D130" s="630"/>
      <c r="E130" s="56" t="s">
        <v>101</v>
      </c>
      <c r="F130" s="32" t="s">
        <v>100</v>
      </c>
      <c r="G130" s="15">
        <v>4</v>
      </c>
      <c r="H130" s="59">
        <f>'TABLA GENERAL'!D174</f>
        <v>7500</v>
      </c>
      <c r="I130" s="114">
        <f t="shared" si="6"/>
        <v>30000</v>
      </c>
      <c r="J130" s="15">
        <v>4</v>
      </c>
      <c r="K130" s="60">
        <f t="shared" si="5"/>
        <v>30000</v>
      </c>
    </row>
    <row r="131" spans="1:11" ht="15.75" thickBot="1" x14ac:dyDescent="0.3">
      <c r="A131" s="559"/>
      <c r="B131" s="551"/>
      <c r="C131" s="629"/>
      <c r="D131" s="630"/>
      <c r="E131" s="56" t="s">
        <v>99</v>
      </c>
      <c r="F131" s="32" t="s">
        <v>98</v>
      </c>
      <c r="G131" s="15">
        <v>1</v>
      </c>
      <c r="H131" s="59">
        <f>'TABLA GENERAL'!D175</f>
        <v>8750</v>
      </c>
      <c r="I131" s="114">
        <f t="shared" si="6"/>
        <v>8750</v>
      </c>
      <c r="J131" s="15">
        <v>1</v>
      </c>
      <c r="K131" s="60">
        <f t="shared" si="5"/>
        <v>8750</v>
      </c>
    </row>
    <row r="132" spans="1:11" ht="15.75" thickBot="1" x14ac:dyDescent="0.3">
      <c r="A132" s="559" t="s">
        <v>473</v>
      </c>
      <c r="B132" s="551"/>
      <c r="C132" s="629"/>
      <c r="D132" s="630"/>
      <c r="E132" s="56" t="s">
        <v>514</v>
      </c>
      <c r="F132" s="32" t="s">
        <v>515</v>
      </c>
      <c r="G132" s="15">
        <v>5</v>
      </c>
      <c r="H132" s="59">
        <f>'TABLA GENERAL'!D188</f>
        <v>48</v>
      </c>
      <c r="I132" s="114">
        <f t="shared" si="6"/>
        <v>240</v>
      </c>
      <c r="J132" s="15">
        <v>2</v>
      </c>
      <c r="K132" s="60">
        <f t="shared" si="5"/>
        <v>96</v>
      </c>
    </row>
    <row r="133" spans="1:11" ht="17.25" thickBot="1" x14ac:dyDescent="0.3">
      <c r="A133" s="112"/>
      <c r="B133" s="112"/>
      <c r="C133" s="112"/>
      <c r="D133" s="112"/>
      <c r="E133" s="112"/>
      <c r="F133" s="112" t="s">
        <v>516</v>
      </c>
      <c r="G133" s="112"/>
      <c r="H133" s="112"/>
      <c r="I133" s="118">
        <f>SUM(I103:I132)</f>
        <v>1116775.5384615385</v>
      </c>
      <c r="J133" s="112"/>
      <c r="K133" s="119">
        <f>SUM(K103:K132)</f>
        <v>364266.4615384615</v>
      </c>
    </row>
    <row r="135" spans="1:11" thickBot="1" x14ac:dyDescent="0.35"/>
    <row r="136" spans="1:11" ht="47.25" customHeight="1" thickBot="1" x14ac:dyDescent="0.3">
      <c r="B136" s="195"/>
      <c r="C136" s="195"/>
      <c r="D136" s="195"/>
      <c r="E136" s="195"/>
      <c r="F136" s="617" t="s">
        <v>517</v>
      </c>
      <c r="G136" s="618"/>
      <c r="H136" s="618"/>
      <c r="I136" s="618"/>
      <c r="J136" s="618"/>
      <c r="K136" s="618"/>
    </row>
    <row r="137" spans="1:11" ht="28.15" thickBot="1" x14ac:dyDescent="0.35">
      <c r="A137" s="335" t="s">
        <v>228</v>
      </c>
      <c r="B137" s="335"/>
      <c r="C137" s="335"/>
      <c r="D137" s="335"/>
      <c r="E137" s="335"/>
      <c r="F137" s="335" t="s">
        <v>85</v>
      </c>
      <c r="G137" s="335" t="s">
        <v>229</v>
      </c>
      <c r="H137" s="335" t="s">
        <v>123</v>
      </c>
      <c r="I137" s="113" t="s">
        <v>230</v>
      </c>
      <c r="J137" s="335">
        <v>2025</v>
      </c>
      <c r="K137" s="335" t="s">
        <v>79</v>
      </c>
    </row>
    <row r="138" spans="1:11" ht="16.5" customHeight="1" thickBot="1" x14ac:dyDescent="0.3">
      <c r="A138" s="558" t="s">
        <v>517</v>
      </c>
      <c r="B138" s="550" t="s">
        <v>518</v>
      </c>
      <c r="C138" s="627" t="s">
        <v>519</v>
      </c>
      <c r="D138" s="628"/>
      <c r="E138" s="56" t="s">
        <v>520</v>
      </c>
      <c r="F138" s="48" t="s">
        <v>521</v>
      </c>
      <c r="G138" s="47">
        <v>130</v>
      </c>
      <c r="H138" s="72">
        <f>'TABLA GENERAL'!D196</f>
        <v>1753</v>
      </c>
      <c r="I138" s="114">
        <f>+H138*G138</f>
        <v>227890</v>
      </c>
      <c r="J138" s="51">
        <v>12</v>
      </c>
      <c r="K138" s="60">
        <f t="shared" ref="K138:K158" si="7">J138*H138</f>
        <v>21036</v>
      </c>
    </row>
    <row r="139" spans="1:11" ht="15.75" thickBot="1" x14ac:dyDescent="0.3">
      <c r="A139" s="559" t="s">
        <v>517</v>
      </c>
      <c r="B139" s="551"/>
      <c r="C139" s="629"/>
      <c r="D139" s="630"/>
      <c r="E139" s="56" t="s">
        <v>125</v>
      </c>
      <c r="F139" s="32" t="s">
        <v>126</v>
      </c>
      <c r="G139" s="15">
        <v>1</v>
      </c>
      <c r="H139" s="59">
        <f>'TABLA GENERAL'!D198</f>
        <v>8540</v>
      </c>
      <c r="I139" s="114">
        <f t="shared" ref="I139:I157" si="8">+H139*G139</f>
        <v>8540</v>
      </c>
      <c r="J139" s="15">
        <v>1</v>
      </c>
      <c r="K139" s="60">
        <f t="shared" si="7"/>
        <v>8540</v>
      </c>
    </row>
    <row r="140" spans="1:11" ht="30.75" thickBot="1" x14ac:dyDescent="0.3">
      <c r="A140" s="559" t="s">
        <v>517</v>
      </c>
      <c r="B140" s="551"/>
      <c r="C140" s="629"/>
      <c r="D140" s="630"/>
      <c r="E140" s="56" t="s">
        <v>522</v>
      </c>
      <c r="F140" s="32" t="s">
        <v>523</v>
      </c>
      <c r="G140" s="15">
        <v>8</v>
      </c>
      <c r="H140" s="59">
        <f>'TABLA GENERAL'!D203</f>
        <v>710</v>
      </c>
      <c r="I140" s="114">
        <f t="shared" si="8"/>
        <v>5680</v>
      </c>
      <c r="J140" s="15">
        <v>4</v>
      </c>
      <c r="K140" s="60">
        <f t="shared" si="7"/>
        <v>2840</v>
      </c>
    </row>
    <row r="141" spans="1:11" ht="30.75" thickBot="1" x14ac:dyDescent="0.3">
      <c r="A141" s="559" t="s">
        <v>517</v>
      </c>
      <c r="B141" s="551"/>
      <c r="C141" s="629"/>
      <c r="D141" s="630"/>
      <c r="E141" s="56" t="s">
        <v>524</v>
      </c>
      <c r="F141" s="32" t="s">
        <v>525</v>
      </c>
      <c r="G141" s="15">
        <v>8</v>
      </c>
      <c r="H141" s="59">
        <f>'TABLA GENERAL'!D204</f>
        <v>659.99</v>
      </c>
      <c r="I141" s="114">
        <f t="shared" si="8"/>
        <v>5279.92</v>
      </c>
      <c r="J141" s="15">
        <v>4</v>
      </c>
      <c r="K141" s="60">
        <f t="shared" si="7"/>
        <v>2639.96</v>
      </c>
    </row>
    <row r="142" spans="1:11" ht="16.5" customHeight="1" thickBot="1" x14ac:dyDescent="0.3">
      <c r="A142" s="559" t="s">
        <v>517</v>
      </c>
      <c r="B142" s="551"/>
      <c r="C142" s="633" t="s">
        <v>528</v>
      </c>
      <c r="D142" s="634"/>
      <c r="E142" s="56" t="s">
        <v>135</v>
      </c>
      <c r="F142" s="32" t="s">
        <v>136</v>
      </c>
      <c r="G142" s="15">
        <v>13</v>
      </c>
      <c r="H142" s="59">
        <f>'TABLA GENERAL'!D206</f>
        <v>11022</v>
      </c>
      <c r="I142" s="114">
        <f t="shared" si="8"/>
        <v>143286</v>
      </c>
      <c r="J142" s="15">
        <v>2</v>
      </c>
      <c r="K142" s="60">
        <f t="shared" si="7"/>
        <v>22044</v>
      </c>
    </row>
    <row r="143" spans="1:11" ht="30.75" thickBot="1" x14ac:dyDescent="0.3">
      <c r="A143" s="559" t="s">
        <v>517</v>
      </c>
      <c r="B143" s="551"/>
      <c r="C143" s="629"/>
      <c r="D143" s="630"/>
      <c r="E143" s="56" t="s">
        <v>529</v>
      </c>
      <c r="F143" s="32" t="s">
        <v>530</v>
      </c>
      <c r="G143" s="15">
        <v>52</v>
      </c>
      <c r="H143" s="59">
        <f>'TABLA GENERAL'!D207</f>
        <v>2134</v>
      </c>
      <c r="I143" s="114">
        <f t="shared" si="8"/>
        <v>110968</v>
      </c>
      <c r="J143" s="15">
        <v>4</v>
      </c>
      <c r="K143" s="60">
        <f t="shared" si="7"/>
        <v>8536</v>
      </c>
    </row>
    <row r="144" spans="1:11" ht="15.75" thickBot="1" x14ac:dyDescent="0.3">
      <c r="A144" s="559" t="s">
        <v>517</v>
      </c>
      <c r="B144" s="551"/>
      <c r="C144" s="629"/>
      <c r="D144" s="630"/>
      <c r="E144" s="56" t="s">
        <v>137</v>
      </c>
      <c r="F144" s="32" t="s">
        <v>138</v>
      </c>
      <c r="G144" s="15">
        <v>2</v>
      </c>
      <c r="H144" s="59">
        <f>'TABLA GENERAL'!D208</f>
        <v>250260</v>
      </c>
      <c r="I144" s="114">
        <f t="shared" si="8"/>
        <v>500520</v>
      </c>
      <c r="J144" s="15">
        <v>1</v>
      </c>
      <c r="K144" s="60">
        <f t="shared" si="7"/>
        <v>250260</v>
      </c>
    </row>
    <row r="145" spans="1:11" ht="15.75" thickBot="1" x14ac:dyDescent="0.3">
      <c r="A145" s="559" t="s">
        <v>517</v>
      </c>
      <c r="B145" s="551"/>
      <c r="C145" s="629"/>
      <c r="D145" s="630"/>
      <c r="E145" s="56" t="s">
        <v>139</v>
      </c>
      <c r="F145" s="32" t="s">
        <v>140</v>
      </c>
      <c r="G145" s="15">
        <v>2</v>
      </c>
      <c r="H145" s="59">
        <f>'TABLA GENERAL'!D209</f>
        <v>75650</v>
      </c>
      <c r="I145" s="114">
        <f t="shared" si="8"/>
        <v>151300</v>
      </c>
      <c r="J145" s="15">
        <v>1</v>
      </c>
      <c r="K145" s="60">
        <f t="shared" si="7"/>
        <v>75650</v>
      </c>
    </row>
    <row r="146" spans="1:11" ht="15.75" thickBot="1" x14ac:dyDescent="0.3">
      <c r="A146" s="559" t="s">
        <v>517</v>
      </c>
      <c r="B146" s="551"/>
      <c r="C146" s="629"/>
      <c r="D146" s="630"/>
      <c r="E146" s="56" t="s">
        <v>141</v>
      </c>
      <c r="F146" s="32" t="s">
        <v>142</v>
      </c>
      <c r="G146" s="15">
        <v>2</v>
      </c>
      <c r="H146" s="59">
        <f>'TABLA GENERAL'!D210</f>
        <v>181147</v>
      </c>
      <c r="I146" s="114">
        <f t="shared" si="8"/>
        <v>362294</v>
      </c>
      <c r="J146" s="15">
        <v>1</v>
      </c>
      <c r="K146" s="60">
        <f t="shared" si="7"/>
        <v>181147</v>
      </c>
    </row>
    <row r="147" spans="1:11" ht="15.75" thickBot="1" x14ac:dyDescent="0.3">
      <c r="A147" s="559" t="s">
        <v>517</v>
      </c>
      <c r="B147" s="551"/>
      <c r="C147" s="629"/>
      <c r="D147" s="630"/>
      <c r="E147" s="56" t="s">
        <v>143</v>
      </c>
      <c r="F147" s="32" t="s">
        <v>144</v>
      </c>
      <c r="G147" s="15">
        <v>6</v>
      </c>
      <c r="H147" s="59">
        <f>'TABLA GENERAL'!D211</f>
        <v>247000</v>
      </c>
      <c r="I147" s="114">
        <f t="shared" si="8"/>
        <v>1482000</v>
      </c>
      <c r="J147" s="15">
        <v>2</v>
      </c>
      <c r="K147" s="60">
        <f t="shared" si="7"/>
        <v>494000</v>
      </c>
    </row>
    <row r="148" spans="1:11" ht="15.75" thickBot="1" x14ac:dyDescent="0.3">
      <c r="A148" s="559" t="s">
        <v>517</v>
      </c>
      <c r="B148" s="551"/>
      <c r="C148" s="629"/>
      <c r="D148" s="630"/>
      <c r="E148" s="56" t="s">
        <v>145</v>
      </c>
      <c r="F148" s="32" t="s">
        <v>146</v>
      </c>
      <c r="G148" s="15">
        <v>1</v>
      </c>
      <c r="H148" s="59">
        <f>'TABLA GENERAL'!D212</f>
        <v>12740</v>
      </c>
      <c r="I148" s="114">
        <f t="shared" si="8"/>
        <v>12740</v>
      </c>
      <c r="J148" s="15">
        <v>1</v>
      </c>
      <c r="K148" s="60">
        <f t="shared" si="7"/>
        <v>12740</v>
      </c>
    </row>
    <row r="149" spans="1:11" ht="15.75" thickBot="1" x14ac:dyDescent="0.3">
      <c r="A149" s="559" t="s">
        <v>517</v>
      </c>
      <c r="B149" s="551"/>
      <c r="C149" s="629"/>
      <c r="D149" s="630"/>
      <c r="E149" s="56" t="s">
        <v>147</v>
      </c>
      <c r="F149" s="32" t="s">
        <v>148</v>
      </c>
      <c r="G149" s="15">
        <v>1</v>
      </c>
      <c r="H149" s="59">
        <f>'TABLA GENERAL'!D213</f>
        <v>24190</v>
      </c>
      <c r="I149" s="114">
        <f t="shared" si="8"/>
        <v>24190</v>
      </c>
      <c r="J149" s="15">
        <v>1</v>
      </c>
      <c r="K149" s="60">
        <f t="shared" si="7"/>
        <v>24190</v>
      </c>
    </row>
    <row r="150" spans="1:11" ht="15.75" thickBot="1" x14ac:dyDescent="0.3">
      <c r="A150" s="559" t="s">
        <v>517</v>
      </c>
      <c r="B150" s="551"/>
      <c r="C150" s="629"/>
      <c r="D150" s="630"/>
      <c r="E150" s="56" t="s">
        <v>149</v>
      </c>
      <c r="F150" s="32" t="s">
        <v>150</v>
      </c>
      <c r="G150" s="15">
        <v>1</v>
      </c>
      <c r="H150" s="59">
        <f>'TABLA GENERAL'!D214</f>
        <v>61950</v>
      </c>
      <c r="I150" s="114">
        <f t="shared" si="8"/>
        <v>61950</v>
      </c>
      <c r="J150" s="15">
        <v>1</v>
      </c>
      <c r="K150" s="60">
        <f t="shared" si="7"/>
        <v>61950</v>
      </c>
    </row>
    <row r="151" spans="1:11" ht="15.75" thickBot="1" x14ac:dyDescent="0.3">
      <c r="A151" s="559" t="s">
        <v>517</v>
      </c>
      <c r="B151" s="551"/>
      <c r="C151" s="629"/>
      <c r="D151" s="630"/>
      <c r="E151" s="56" t="s">
        <v>151</v>
      </c>
      <c r="F151" s="32" t="s">
        <v>152</v>
      </c>
      <c r="G151" s="15">
        <v>3</v>
      </c>
      <c r="H151" s="59">
        <f>'TABLA GENERAL'!D215</f>
        <v>22080</v>
      </c>
      <c r="I151" s="114">
        <f t="shared" si="8"/>
        <v>66240</v>
      </c>
      <c r="J151" s="15">
        <v>2</v>
      </c>
      <c r="K151" s="60">
        <f t="shared" si="7"/>
        <v>44160</v>
      </c>
    </row>
    <row r="152" spans="1:11" ht="15.75" thickBot="1" x14ac:dyDescent="0.3">
      <c r="A152" s="559" t="s">
        <v>517</v>
      </c>
      <c r="B152" s="551"/>
      <c r="C152" s="629"/>
      <c r="D152" s="630"/>
      <c r="E152" s="56" t="s">
        <v>153</v>
      </c>
      <c r="F152" s="32" t="s">
        <v>154</v>
      </c>
      <c r="G152" s="15">
        <v>1</v>
      </c>
      <c r="H152" s="59">
        <f>'TABLA GENERAL'!D216</f>
        <v>16630</v>
      </c>
      <c r="I152" s="114">
        <f t="shared" si="8"/>
        <v>16630</v>
      </c>
      <c r="J152" s="15">
        <v>1</v>
      </c>
      <c r="K152" s="60">
        <f t="shared" si="7"/>
        <v>16630</v>
      </c>
    </row>
    <row r="153" spans="1:11" ht="15.75" thickBot="1" x14ac:dyDescent="0.3">
      <c r="A153" s="559" t="s">
        <v>517</v>
      </c>
      <c r="B153" s="551"/>
      <c r="C153" s="631"/>
      <c r="D153" s="632"/>
      <c r="E153" s="56" t="s">
        <v>155</v>
      </c>
      <c r="F153" s="32" t="s">
        <v>156</v>
      </c>
      <c r="G153" s="15">
        <v>1</v>
      </c>
      <c r="H153" s="59">
        <f>'TABLA GENERAL'!D217</f>
        <v>72745</v>
      </c>
      <c r="I153" s="114">
        <f t="shared" si="8"/>
        <v>72745</v>
      </c>
      <c r="J153" s="15">
        <v>1</v>
      </c>
      <c r="K153" s="60">
        <f t="shared" si="7"/>
        <v>72745</v>
      </c>
    </row>
    <row r="154" spans="1:11" ht="15.75" thickBot="1" x14ac:dyDescent="0.3">
      <c r="A154" s="559" t="s">
        <v>517</v>
      </c>
      <c r="B154" s="551"/>
      <c r="C154" s="629"/>
      <c r="D154" s="630"/>
      <c r="E154" s="56" t="s">
        <v>157</v>
      </c>
      <c r="F154" s="32" t="s">
        <v>158</v>
      </c>
      <c r="G154" s="15">
        <v>2</v>
      </c>
      <c r="H154" s="59">
        <f>'TABLA GENERAL'!D218</f>
        <v>18224</v>
      </c>
      <c r="I154" s="114">
        <f t="shared" si="8"/>
        <v>36448</v>
      </c>
      <c r="J154" s="15">
        <v>1</v>
      </c>
      <c r="K154" s="60">
        <f t="shared" si="7"/>
        <v>18224</v>
      </c>
    </row>
    <row r="155" spans="1:11" ht="30.75" thickBot="1" x14ac:dyDescent="0.3">
      <c r="A155" s="559" t="s">
        <v>517</v>
      </c>
      <c r="B155" s="551"/>
      <c r="C155" s="629"/>
      <c r="D155" s="630"/>
      <c r="E155" s="56" t="s">
        <v>159</v>
      </c>
      <c r="F155" s="32" t="s">
        <v>160</v>
      </c>
      <c r="G155" s="15">
        <v>2</v>
      </c>
      <c r="H155" s="59">
        <v>47215</v>
      </c>
      <c r="I155" s="114">
        <f t="shared" si="8"/>
        <v>94430</v>
      </c>
      <c r="J155" s="15">
        <v>1</v>
      </c>
      <c r="K155" s="60">
        <f t="shared" si="7"/>
        <v>47215</v>
      </c>
    </row>
    <row r="156" spans="1:11" ht="15.75" thickBot="1" x14ac:dyDescent="0.3">
      <c r="A156" s="559" t="s">
        <v>517</v>
      </c>
      <c r="B156" s="551"/>
      <c r="C156" s="629"/>
      <c r="D156" s="630"/>
      <c r="E156" s="56" t="s">
        <v>161</v>
      </c>
      <c r="F156" s="32" t="s">
        <v>162</v>
      </c>
      <c r="G156" s="15">
        <v>3</v>
      </c>
      <c r="H156" s="59">
        <f>'TABLA GENERAL'!D220</f>
        <v>108900</v>
      </c>
      <c r="I156" s="114">
        <f t="shared" si="8"/>
        <v>326700</v>
      </c>
      <c r="J156" s="15">
        <v>1</v>
      </c>
      <c r="K156" s="60">
        <f t="shared" si="7"/>
        <v>108900</v>
      </c>
    </row>
    <row r="157" spans="1:11" ht="30.75" thickBot="1" x14ac:dyDescent="0.3">
      <c r="A157" s="559" t="s">
        <v>517</v>
      </c>
      <c r="B157" s="551"/>
      <c r="C157" s="629"/>
      <c r="D157" s="630"/>
      <c r="E157" s="56" t="s">
        <v>163</v>
      </c>
      <c r="F157" s="32" t="s">
        <v>164</v>
      </c>
      <c r="G157" s="15">
        <v>4</v>
      </c>
      <c r="H157" s="59">
        <f>'TABLA GENERAL'!D221</f>
        <v>48964</v>
      </c>
      <c r="I157" s="114">
        <f t="shared" si="8"/>
        <v>195856</v>
      </c>
      <c r="J157" s="15">
        <v>1</v>
      </c>
      <c r="K157" s="60">
        <f t="shared" si="7"/>
        <v>48964</v>
      </c>
    </row>
    <row r="158" spans="1:11" ht="15.75" thickBot="1" x14ac:dyDescent="0.3">
      <c r="A158" s="560" t="s">
        <v>517</v>
      </c>
      <c r="B158" s="552"/>
      <c r="C158" s="635"/>
      <c r="D158" s="636"/>
      <c r="E158" s="56" t="s">
        <v>165</v>
      </c>
      <c r="F158" s="57" t="s">
        <v>166</v>
      </c>
      <c r="G158" s="51">
        <v>2</v>
      </c>
      <c r="H158" s="59">
        <f>'TABLA GENERAL'!D222</f>
        <v>2692.3</v>
      </c>
      <c r="I158" s="114">
        <f>+H158*G158</f>
        <v>5384.6</v>
      </c>
      <c r="J158" s="51">
        <v>1</v>
      </c>
      <c r="K158" s="60">
        <f t="shared" si="7"/>
        <v>2692.3</v>
      </c>
    </row>
    <row r="159" spans="1:11" ht="17.25" thickBot="1" x14ac:dyDescent="0.3">
      <c r="A159" s="112"/>
      <c r="B159" s="112"/>
      <c r="C159" s="112"/>
      <c r="D159" s="112"/>
      <c r="E159" s="112"/>
      <c r="F159" s="112" t="s">
        <v>534</v>
      </c>
      <c r="G159" s="112"/>
      <c r="H159" s="112"/>
      <c r="I159" s="118">
        <f>SUM(I138:I158)</f>
        <v>3911071.52</v>
      </c>
      <c r="J159" s="112"/>
      <c r="K159" s="119">
        <f>SUM(K138:K158)</f>
        <v>1525103.26</v>
      </c>
    </row>
    <row r="160" spans="1:11" ht="15.75" thickBot="1" x14ac:dyDescent="0.3"/>
    <row r="161" spans="1:11" ht="47.25" customHeight="1" thickBot="1" x14ac:dyDescent="0.3">
      <c r="B161" s="195"/>
      <c r="C161" s="195"/>
      <c r="D161" s="195"/>
      <c r="E161" s="195"/>
      <c r="F161" s="617" t="s">
        <v>550</v>
      </c>
      <c r="G161" s="618"/>
      <c r="H161" s="618"/>
      <c r="I161" s="618"/>
      <c r="J161" s="618"/>
      <c r="K161" s="618"/>
    </row>
    <row r="162" spans="1:11" ht="50.25" customHeight="1" thickBot="1" x14ac:dyDescent="0.3">
      <c r="A162" s="335" t="s">
        <v>228</v>
      </c>
      <c r="B162" s="597" t="s">
        <v>551</v>
      </c>
      <c r="C162" s="555"/>
      <c r="D162" s="555"/>
      <c r="E162" s="56"/>
      <c r="F162" s="335" t="s">
        <v>85</v>
      </c>
      <c r="G162" s="335" t="s">
        <v>229</v>
      </c>
      <c r="H162" s="112" t="s">
        <v>123</v>
      </c>
      <c r="I162" s="118" t="s">
        <v>230</v>
      </c>
      <c r="J162" s="335">
        <v>2025</v>
      </c>
      <c r="K162" s="335" t="s">
        <v>79</v>
      </c>
    </row>
    <row r="163" spans="1:11" ht="33.75" thickBot="1" x14ac:dyDescent="0.3">
      <c r="A163" s="112" t="s">
        <v>552</v>
      </c>
      <c r="B163" s="604"/>
      <c r="C163" s="605"/>
      <c r="D163" s="605"/>
      <c r="E163" s="56" t="s">
        <v>181</v>
      </c>
      <c r="F163" s="93" t="s">
        <v>182</v>
      </c>
      <c r="G163" s="128">
        <v>30</v>
      </c>
      <c r="H163" s="94">
        <f>'TABLA GENERAL'!D241</f>
        <v>1000</v>
      </c>
      <c r="I163" s="129">
        <f>+H163*G163</f>
        <v>30000</v>
      </c>
      <c r="J163" s="95">
        <v>5</v>
      </c>
      <c r="K163" s="60">
        <f>J163*H163</f>
        <v>5000</v>
      </c>
    </row>
    <row r="164" spans="1:11" ht="17.25" thickBot="1" x14ac:dyDescent="0.3">
      <c r="A164" s="112"/>
      <c r="B164" s="607"/>
      <c r="C164" s="608"/>
      <c r="D164" s="608"/>
      <c r="E164" s="56"/>
      <c r="F164" s="112" t="s">
        <v>553</v>
      </c>
      <c r="G164" s="112"/>
      <c r="H164" s="112"/>
      <c r="I164" s="118">
        <f>+I163</f>
        <v>30000</v>
      </c>
      <c r="J164" s="112"/>
      <c r="K164" s="119">
        <f>SUM(K163)</f>
        <v>5000</v>
      </c>
    </row>
    <row r="165" spans="1:11" ht="15.75" thickBot="1" x14ac:dyDescent="0.3"/>
    <row r="166" spans="1:11" ht="47.25" customHeight="1" thickBot="1" x14ac:dyDescent="0.3">
      <c r="B166" s="195"/>
      <c r="C166" s="195"/>
      <c r="D166" s="195"/>
      <c r="E166" s="195"/>
      <c r="F166" s="617" t="s">
        <v>572</v>
      </c>
      <c r="G166" s="618"/>
      <c r="H166" s="618"/>
      <c r="I166" s="618"/>
      <c r="J166" s="618"/>
      <c r="K166" s="618"/>
    </row>
    <row r="167" spans="1:11" ht="50.25" customHeight="1" thickBot="1" x14ac:dyDescent="0.3">
      <c r="A167" s="335" t="s">
        <v>228</v>
      </c>
      <c r="B167" s="597" t="s">
        <v>573</v>
      </c>
      <c r="C167" s="555"/>
      <c r="D167" s="555"/>
      <c r="E167" s="131"/>
      <c r="F167" s="335" t="s">
        <v>85</v>
      </c>
      <c r="G167" s="335" t="s">
        <v>229</v>
      </c>
      <c r="H167" s="335" t="s">
        <v>123</v>
      </c>
      <c r="I167" s="113" t="s">
        <v>230</v>
      </c>
      <c r="J167" s="335">
        <v>2025</v>
      </c>
      <c r="K167" s="335" t="s">
        <v>79</v>
      </c>
    </row>
    <row r="168" spans="1:11" ht="16.5" customHeight="1" thickBot="1" x14ac:dyDescent="0.3">
      <c r="A168" s="563"/>
      <c r="B168" s="604"/>
      <c r="C168" s="605"/>
      <c r="D168" s="605"/>
      <c r="E168" s="56" t="s">
        <v>198</v>
      </c>
      <c r="F168" s="105" t="s">
        <v>199</v>
      </c>
      <c r="G168" s="15">
        <v>5</v>
      </c>
      <c r="H168" s="72">
        <f>'TABLA GENERAL'!D263</f>
        <v>24460</v>
      </c>
      <c r="I168" s="114">
        <f t="shared" ref="I168:I169" si="9">+H168*G168</f>
        <v>122300</v>
      </c>
      <c r="J168" s="15">
        <v>1</v>
      </c>
      <c r="K168" s="60">
        <f>J168*H168</f>
        <v>24460</v>
      </c>
    </row>
    <row r="169" spans="1:11" ht="16.5" customHeight="1" thickBot="1" x14ac:dyDescent="0.3">
      <c r="A169" s="564"/>
      <c r="B169" s="607"/>
      <c r="C169" s="608"/>
      <c r="D169" s="608"/>
      <c r="E169" s="56" t="s">
        <v>200</v>
      </c>
      <c r="F169" s="106" t="s">
        <v>201</v>
      </c>
      <c r="G169" s="51">
        <v>2</v>
      </c>
      <c r="H169" s="72">
        <f>'TABLA GENERAL'!D264</f>
        <v>2493</v>
      </c>
      <c r="I169" s="114">
        <f t="shared" si="9"/>
        <v>4986</v>
      </c>
      <c r="J169" s="51">
        <v>1</v>
      </c>
      <c r="K169" s="60">
        <f>J169*H169</f>
        <v>2493</v>
      </c>
    </row>
    <row r="170" spans="1:11" ht="17.25" thickBot="1" x14ac:dyDescent="0.3">
      <c r="A170" s="112"/>
      <c r="B170" s="112"/>
      <c r="C170" s="112"/>
      <c r="D170" s="112"/>
      <c r="E170" s="112"/>
      <c r="F170" s="112" t="s">
        <v>574</v>
      </c>
      <c r="G170" s="112"/>
      <c r="H170" s="112"/>
      <c r="I170" s="118">
        <f>SUM(I168:I169)</f>
        <v>127286</v>
      </c>
      <c r="J170" s="112"/>
      <c r="K170" s="119">
        <f>SUM(K168:K169)</f>
        <v>26953</v>
      </c>
    </row>
    <row r="171" spans="1:11" ht="15.75" thickBot="1" x14ac:dyDescent="0.3"/>
    <row r="172" spans="1:11" ht="47.25" customHeight="1" thickBot="1" x14ac:dyDescent="0.3">
      <c r="A172" s="620"/>
      <c r="B172" s="620"/>
      <c r="C172" s="620"/>
      <c r="D172" s="620"/>
      <c r="E172" s="621"/>
      <c r="F172" s="617" t="s">
        <v>575</v>
      </c>
      <c r="G172" s="618"/>
      <c r="H172" s="618"/>
      <c r="I172" s="618"/>
      <c r="J172" s="618"/>
      <c r="K172" s="618"/>
    </row>
    <row r="173" spans="1:11" ht="50.25" customHeight="1" thickBot="1" x14ac:dyDescent="0.3">
      <c r="A173" s="335" t="s">
        <v>228</v>
      </c>
      <c r="B173" s="597" t="s">
        <v>576</v>
      </c>
      <c r="C173" s="555"/>
      <c r="D173" s="555"/>
      <c r="E173" s="131"/>
      <c r="F173" s="112" t="s">
        <v>85</v>
      </c>
      <c r="G173" s="112" t="s">
        <v>229</v>
      </c>
      <c r="H173" s="112" t="s">
        <v>123</v>
      </c>
      <c r="I173" s="113" t="s">
        <v>230</v>
      </c>
      <c r="J173" s="335">
        <v>2025</v>
      </c>
      <c r="K173" s="335" t="s">
        <v>79</v>
      </c>
    </row>
    <row r="174" spans="1:11" ht="33.75" thickBot="1" x14ac:dyDescent="0.3">
      <c r="A174" s="112" t="s">
        <v>575</v>
      </c>
      <c r="B174" s="607"/>
      <c r="C174" s="608"/>
      <c r="D174" s="608"/>
      <c r="E174" s="56" t="s">
        <v>743</v>
      </c>
      <c r="F174" s="107" t="s">
        <v>686</v>
      </c>
      <c r="G174" s="334">
        <v>1</v>
      </c>
      <c r="H174" s="94">
        <f>'TABLA GENERAL'!D270</f>
        <v>172012</v>
      </c>
      <c r="I174" s="114">
        <f>+H174</f>
        <v>172012</v>
      </c>
      <c r="J174" s="108">
        <v>1</v>
      </c>
      <c r="K174" s="60">
        <f>J174*H174</f>
        <v>172012</v>
      </c>
    </row>
    <row r="175" spans="1:11" ht="17.25" thickBot="1" x14ac:dyDescent="0.3">
      <c r="A175" s="112"/>
      <c r="B175" s="112"/>
      <c r="C175" s="112"/>
      <c r="D175" s="112"/>
      <c r="E175" s="112"/>
      <c r="F175" s="112" t="s">
        <v>577</v>
      </c>
      <c r="G175" s="112"/>
      <c r="H175" s="112"/>
      <c r="I175" s="118">
        <f>+I174</f>
        <v>172012</v>
      </c>
      <c r="J175" s="112"/>
      <c r="K175" s="119">
        <f>SUM(K174)</f>
        <v>172012</v>
      </c>
    </row>
    <row r="176" spans="1:11" ht="15.75" thickBot="1" x14ac:dyDescent="0.3"/>
    <row r="177" spans="1:11" ht="47.25" customHeight="1" thickBot="1" x14ac:dyDescent="0.3">
      <c r="A177" s="195"/>
      <c r="B177" s="195"/>
      <c r="C177" s="195"/>
      <c r="D177" s="195"/>
      <c r="E177" s="195"/>
      <c r="F177" s="617" t="s">
        <v>578</v>
      </c>
      <c r="G177" s="618"/>
      <c r="H177" s="618"/>
      <c r="I177" s="618"/>
      <c r="J177" s="618"/>
      <c r="K177" s="618"/>
    </row>
    <row r="178" spans="1:11" ht="50.25" customHeight="1" thickBot="1" x14ac:dyDescent="0.3">
      <c r="A178" s="335" t="s">
        <v>228</v>
      </c>
      <c r="B178" s="597" t="s">
        <v>579</v>
      </c>
      <c r="C178" s="555"/>
      <c r="D178" s="555"/>
      <c r="E178" s="56"/>
      <c r="F178" s="335" t="s">
        <v>85</v>
      </c>
      <c r="G178" s="112" t="s">
        <v>229</v>
      </c>
      <c r="H178" s="335" t="s">
        <v>123</v>
      </c>
      <c r="I178" s="113" t="s">
        <v>230</v>
      </c>
      <c r="J178" s="335">
        <v>2025</v>
      </c>
      <c r="K178" s="335" t="s">
        <v>79</v>
      </c>
    </row>
    <row r="179" spans="1:11" ht="50.25" thickBot="1" x14ac:dyDescent="0.3">
      <c r="A179" s="112" t="s">
        <v>578</v>
      </c>
      <c r="B179" s="607"/>
      <c r="C179" s="608"/>
      <c r="D179" s="608"/>
      <c r="E179" s="56" t="s">
        <v>744</v>
      </c>
      <c r="F179" s="109" t="s">
        <v>205</v>
      </c>
      <c r="G179" s="334">
        <v>1</v>
      </c>
      <c r="H179" s="110">
        <f>'TABLA GENERAL'!D275</f>
        <v>90850</v>
      </c>
      <c r="I179" s="114">
        <f>+H179</f>
        <v>90850</v>
      </c>
      <c r="J179" s="108">
        <v>1</v>
      </c>
      <c r="K179" s="60">
        <f>J179*H179</f>
        <v>90850</v>
      </c>
    </row>
    <row r="180" spans="1:11" ht="17.25" thickBot="1" x14ac:dyDescent="0.3">
      <c r="A180" s="112"/>
      <c r="B180" s="112"/>
      <c r="C180" s="112"/>
      <c r="D180" s="112"/>
      <c r="E180" s="112"/>
      <c r="F180" s="112" t="s">
        <v>580</v>
      </c>
      <c r="G180" s="112"/>
      <c r="H180" s="112"/>
      <c r="I180" s="118">
        <f>+I179</f>
        <v>90850</v>
      </c>
      <c r="J180" s="112"/>
      <c r="K180" s="119">
        <f>SUM(K179)</f>
        <v>90850</v>
      </c>
    </row>
    <row r="181" spans="1:11" ht="27" customHeight="1" thickBot="1" x14ac:dyDescent="0.3"/>
    <row r="182" spans="1:11" ht="47.25" customHeight="1" thickBot="1" x14ac:dyDescent="0.3">
      <c r="A182" s="195"/>
      <c r="B182" s="195"/>
      <c r="C182" s="195"/>
      <c r="D182" s="195"/>
      <c r="E182" s="195"/>
      <c r="F182" s="617" t="s">
        <v>581</v>
      </c>
      <c r="G182" s="618"/>
      <c r="H182" s="618"/>
      <c r="I182" s="618"/>
      <c r="J182" s="618"/>
      <c r="K182" s="618"/>
    </row>
    <row r="183" spans="1:11" ht="33.75" thickBot="1" x14ac:dyDescent="0.3">
      <c r="A183" s="335" t="s">
        <v>228</v>
      </c>
      <c r="B183" s="610" t="s">
        <v>582</v>
      </c>
      <c r="C183" s="611"/>
      <c r="D183" s="335"/>
      <c r="E183" s="335"/>
      <c r="F183" s="335" t="s">
        <v>85</v>
      </c>
      <c r="G183" s="335" t="s">
        <v>229</v>
      </c>
      <c r="H183" s="335" t="s">
        <v>123</v>
      </c>
      <c r="I183" s="113" t="s">
        <v>230</v>
      </c>
      <c r="J183" s="335">
        <v>2025</v>
      </c>
      <c r="K183" s="335" t="s">
        <v>79</v>
      </c>
    </row>
    <row r="184" spans="1:11" ht="31.5" customHeight="1" thickBot="1" x14ac:dyDescent="0.3">
      <c r="A184" s="558" t="s">
        <v>581</v>
      </c>
      <c r="B184" s="612"/>
      <c r="C184" s="613"/>
      <c r="D184" s="586" t="s">
        <v>206</v>
      </c>
      <c r="E184" s="56" t="s">
        <v>207</v>
      </c>
      <c r="F184" s="48" t="s">
        <v>208</v>
      </c>
      <c r="G184" s="47">
        <v>14</v>
      </c>
      <c r="H184" s="72">
        <f>'TABLA GENERAL'!D280</f>
        <v>570</v>
      </c>
      <c r="I184" s="114">
        <f>H184*G184</f>
        <v>7980</v>
      </c>
      <c r="J184" s="47">
        <v>6</v>
      </c>
      <c r="K184" s="60">
        <f>J184*H184</f>
        <v>3420</v>
      </c>
    </row>
    <row r="185" spans="1:11" ht="30.75" thickBot="1" x14ac:dyDescent="0.3">
      <c r="A185" s="559" t="s">
        <v>581</v>
      </c>
      <c r="B185" s="612"/>
      <c r="C185" s="613"/>
      <c r="D185" s="616"/>
      <c r="E185" s="56" t="s">
        <v>209</v>
      </c>
      <c r="F185" s="32" t="s">
        <v>210</v>
      </c>
      <c r="G185" s="15">
        <v>8</v>
      </c>
      <c r="H185" s="72">
        <f>'TABLA GENERAL'!D281</f>
        <v>3967.46</v>
      </c>
      <c r="I185" s="114">
        <f t="shared" ref="I185:I187" si="10">H185*G185</f>
        <v>31739.68</v>
      </c>
      <c r="J185" s="15">
        <v>4</v>
      </c>
      <c r="K185" s="60">
        <f>J185*H185</f>
        <v>15869.84</v>
      </c>
    </row>
    <row r="186" spans="1:11" ht="30.75" thickBot="1" x14ac:dyDescent="0.3">
      <c r="A186" s="559" t="s">
        <v>581</v>
      </c>
      <c r="B186" s="612"/>
      <c r="C186" s="613"/>
      <c r="D186" s="616"/>
      <c r="E186" s="56" t="s">
        <v>583</v>
      </c>
      <c r="F186" s="32" t="s">
        <v>584</v>
      </c>
      <c r="G186" s="15">
        <v>14</v>
      </c>
      <c r="H186" s="72">
        <f>'TABLA GENERAL'!D282</f>
        <v>24870</v>
      </c>
      <c r="I186" s="114">
        <f t="shared" si="10"/>
        <v>348180</v>
      </c>
      <c r="J186" s="15">
        <v>8</v>
      </c>
      <c r="K186" s="60">
        <f>J186*H186</f>
        <v>198960</v>
      </c>
    </row>
    <row r="187" spans="1:11" ht="60.75" customHeight="1" thickBot="1" x14ac:dyDescent="0.3">
      <c r="A187" s="560" t="s">
        <v>581</v>
      </c>
      <c r="B187" s="614"/>
      <c r="C187" s="615"/>
      <c r="D187" s="589"/>
      <c r="E187" s="56" t="s">
        <v>211</v>
      </c>
      <c r="F187" s="57" t="s">
        <v>212</v>
      </c>
      <c r="G187" s="51">
        <v>8</v>
      </c>
      <c r="H187" s="72">
        <f>'TABLA GENERAL'!D283</f>
        <v>42800</v>
      </c>
      <c r="I187" s="114">
        <f t="shared" si="10"/>
        <v>342400</v>
      </c>
      <c r="J187" s="51">
        <v>4</v>
      </c>
      <c r="K187" s="60">
        <f>J187*H187</f>
        <v>171200</v>
      </c>
    </row>
    <row r="188" spans="1:11" ht="17.25" thickBot="1" x14ac:dyDescent="0.3">
      <c r="A188" s="112"/>
      <c r="B188" s="112"/>
      <c r="C188" s="112"/>
      <c r="D188" s="112"/>
      <c r="E188" s="112"/>
      <c r="F188" s="112" t="s">
        <v>585</v>
      </c>
      <c r="G188" s="112"/>
      <c r="H188" s="112"/>
      <c r="I188" s="118">
        <f>SUM(I184:I187)</f>
        <v>730299.67999999993</v>
      </c>
      <c r="J188" s="112"/>
      <c r="K188" s="119">
        <f>SUM(K184:K187)</f>
        <v>389449.83999999997</v>
      </c>
    </row>
    <row r="189" spans="1:11" ht="15.75" thickBot="1" x14ac:dyDescent="0.3"/>
    <row r="190" spans="1:11" ht="47.25" customHeight="1" thickBot="1" x14ac:dyDescent="0.3">
      <c r="B190" s="620"/>
      <c r="C190" s="620"/>
      <c r="D190" s="620"/>
      <c r="E190" s="621"/>
      <c r="F190" s="617" t="s">
        <v>586</v>
      </c>
      <c r="G190" s="618"/>
      <c r="H190" s="618"/>
      <c r="I190" s="618"/>
      <c r="J190" s="618"/>
      <c r="K190" s="619"/>
    </row>
    <row r="191" spans="1:11" ht="33.75" thickBot="1" x14ac:dyDescent="0.3">
      <c r="A191" s="335" t="s">
        <v>228</v>
      </c>
      <c r="B191" s="597" t="s">
        <v>587</v>
      </c>
      <c r="C191" s="555"/>
      <c r="D191" s="598"/>
      <c r="E191" s="335"/>
      <c r="F191" s="335" t="s">
        <v>85</v>
      </c>
      <c r="G191" s="335" t="s">
        <v>229</v>
      </c>
      <c r="H191" s="335" t="s">
        <v>123</v>
      </c>
      <c r="I191" s="113" t="s">
        <v>230</v>
      </c>
      <c r="J191" s="335">
        <v>2025</v>
      </c>
      <c r="K191" s="335" t="s">
        <v>79</v>
      </c>
    </row>
    <row r="192" spans="1:11" ht="18" customHeight="1" thickBot="1" x14ac:dyDescent="0.3">
      <c r="A192" s="565" t="s">
        <v>586</v>
      </c>
      <c r="B192" s="604"/>
      <c r="C192" s="605"/>
      <c r="D192" s="606"/>
      <c r="E192" s="56" t="s">
        <v>213</v>
      </c>
      <c r="F192" s="48" t="s">
        <v>214</v>
      </c>
      <c r="G192" s="47">
        <v>1</v>
      </c>
      <c r="H192" s="72">
        <f>'TABLA GENERAL'!D288</f>
        <v>1600</v>
      </c>
      <c r="I192" s="114">
        <f>H192*G192</f>
        <v>1600</v>
      </c>
      <c r="J192" s="47">
        <v>1</v>
      </c>
      <c r="K192" s="60">
        <f>J192*H192</f>
        <v>1600</v>
      </c>
    </row>
    <row r="193" spans="1:11" ht="15.75" thickBot="1" x14ac:dyDescent="0.3">
      <c r="A193" s="566"/>
      <c r="B193" s="604"/>
      <c r="C193" s="605"/>
      <c r="D193" s="606"/>
      <c r="E193" s="56" t="s">
        <v>219</v>
      </c>
      <c r="F193" s="32" t="s">
        <v>220</v>
      </c>
      <c r="G193" s="15">
        <v>1</v>
      </c>
      <c r="H193" s="72">
        <f>'TABLA GENERAL'!D291</f>
        <v>1990</v>
      </c>
      <c r="I193" s="114">
        <f t="shared" ref="I193" si="11">H193*G193</f>
        <v>1990</v>
      </c>
      <c r="J193" s="15">
        <v>1</v>
      </c>
      <c r="K193" s="60">
        <f>J193*H193</f>
        <v>1990</v>
      </c>
    </row>
    <row r="194" spans="1:11" ht="17.25" thickBot="1" x14ac:dyDescent="0.3">
      <c r="A194" s="112"/>
      <c r="B194" s="112"/>
      <c r="C194" s="112"/>
      <c r="D194" s="112"/>
      <c r="E194" s="112"/>
      <c r="F194" s="112" t="s">
        <v>588</v>
      </c>
      <c r="G194" s="112"/>
      <c r="H194" s="112"/>
      <c r="I194" s="118">
        <f>SUM(I192:I193)</f>
        <v>3590</v>
      </c>
      <c r="J194" s="112"/>
      <c r="K194" s="119">
        <f>SUM(K192:K193)</f>
        <v>3590</v>
      </c>
    </row>
    <row r="196" spans="1:11" ht="15.75" thickBot="1" x14ac:dyDescent="0.3"/>
    <row r="197" spans="1:11" ht="19.5" customHeight="1" thickBot="1" x14ac:dyDescent="0.35">
      <c r="A197" s="132"/>
      <c r="B197" s="132"/>
      <c r="C197" s="132"/>
      <c r="D197" s="132"/>
      <c r="E197" s="132"/>
      <c r="F197" s="592"/>
      <c r="G197" s="593"/>
      <c r="H197" s="593"/>
      <c r="I197" s="594"/>
      <c r="J197" s="592" t="s">
        <v>226</v>
      </c>
      <c r="K197" s="594"/>
    </row>
    <row r="198" spans="1:11" ht="60" customHeight="1" thickBot="1" x14ac:dyDescent="0.3">
      <c r="A198" s="586" t="s">
        <v>589</v>
      </c>
      <c r="B198" s="587"/>
      <c r="C198" s="587"/>
      <c r="D198" s="587"/>
      <c r="E198" s="587"/>
      <c r="F198" s="588"/>
      <c r="G198" s="592" t="s">
        <v>230</v>
      </c>
      <c r="H198" s="593"/>
      <c r="I198" s="594"/>
      <c r="J198" s="595">
        <v>2025</v>
      </c>
      <c r="K198" s="596"/>
    </row>
    <row r="199" spans="1:11" ht="33" customHeight="1" thickBot="1" x14ac:dyDescent="0.3">
      <c r="A199" s="589"/>
      <c r="B199" s="590"/>
      <c r="C199" s="590"/>
      <c r="D199" s="590"/>
      <c r="E199" s="590"/>
      <c r="F199" s="591"/>
      <c r="G199" s="599" t="e">
        <f>(#REF!+#REF!+#REF!+#REF!+#REF!+#REF!+#REF!+#REF!+#REF!+#REF!+#REF!+#REF!)</f>
        <v>#REF!</v>
      </c>
      <c r="H199" s="600"/>
      <c r="I199" s="133"/>
      <c r="J199" s="599">
        <v>4300000</v>
      </c>
      <c r="K199" s="601"/>
    </row>
    <row r="200" spans="1:11" x14ac:dyDescent="0.25">
      <c r="I200"/>
      <c r="K200" s="14" t="e">
        <f>K194+K188+K180+K175+K170+#REF!+K164+#REF!+K159+K133+K98+K6</f>
        <v>#REF!</v>
      </c>
    </row>
    <row r="201" spans="1:11" x14ac:dyDescent="0.25">
      <c r="I201"/>
      <c r="K201" s="14" t="e">
        <f>J199-K200</f>
        <v>#REF!</v>
      </c>
    </row>
    <row r="202" spans="1:11" ht="15.75" customHeight="1" x14ac:dyDescent="0.25"/>
    <row r="203" spans="1:11" x14ac:dyDescent="0.25">
      <c r="I203"/>
      <c r="K203" s="14" t="e">
        <f>-1*(K201+#REF!+#REF!+#REF!)</f>
        <v>#REF!</v>
      </c>
    </row>
    <row r="204" spans="1:11" ht="14.45" hidden="1" x14ac:dyDescent="0.3"/>
    <row r="205" spans="1:11" ht="14.45" hidden="1" x14ac:dyDescent="0.3"/>
  </sheetData>
  <mergeCells count="50">
    <mergeCell ref="B190:E190"/>
    <mergeCell ref="F190:K190"/>
    <mergeCell ref="B191:D193"/>
    <mergeCell ref="A192:A193"/>
    <mergeCell ref="F177:K177"/>
    <mergeCell ref="B178:D179"/>
    <mergeCell ref="F182:K182"/>
    <mergeCell ref="B183:C187"/>
    <mergeCell ref="A184:A187"/>
    <mergeCell ref="D184:D187"/>
    <mergeCell ref="J198:K198"/>
    <mergeCell ref="G199:H199"/>
    <mergeCell ref="J199:K199"/>
    <mergeCell ref="F197:I197"/>
    <mergeCell ref="J197:K197"/>
    <mergeCell ref="A198:F199"/>
    <mergeCell ref="G198:I198"/>
    <mergeCell ref="B167:D169"/>
    <mergeCell ref="A168:A169"/>
    <mergeCell ref="A172:E172"/>
    <mergeCell ref="F172:K172"/>
    <mergeCell ref="B173:D174"/>
    <mergeCell ref="F166:K166"/>
    <mergeCell ref="F161:K161"/>
    <mergeCell ref="B162:D164"/>
    <mergeCell ref="A138:A158"/>
    <mergeCell ref="B138:B158"/>
    <mergeCell ref="C138:D141"/>
    <mergeCell ref="C142:D153"/>
    <mergeCell ref="C154:D158"/>
    <mergeCell ref="A103:A132"/>
    <mergeCell ref="B103:B132"/>
    <mergeCell ref="C103:D126"/>
    <mergeCell ref="C127:D132"/>
    <mergeCell ref="F136:K136"/>
    <mergeCell ref="B5:B6"/>
    <mergeCell ref="B1:K1"/>
    <mergeCell ref="J2:K2"/>
    <mergeCell ref="J3:K3"/>
    <mergeCell ref="F101:K101"/>
    <mergeCell ref="F9:K9"/>
    <mergeCell ref="B10:B68"/>
    <mergeCell ref="C11:D22"/>
    <mergeCell ref="C23:D68"/>
    <mergeCell ref="B69:B96"/>
    <mergeCell ref="C69:D69"/>
    <mergeCell ref="C70:C97"/>
    <mergeCell ref="D70:D87"/>
    <mergeCell ref="D88:D97"/>
    <mergeCell ref="C4:D5"/>
  </mergeCells>
  <pageMargins left="0.7" right="0.7" top="0.75" bottom="0.75" header="0.3" footer="0.3"/>
  <pageSetup scale="65" orientation="landscape" r:id="rId1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M52"/>
  <sheetViews>
    <sheetView topLeftCell="A7" workbookViewId="0">
      <selection activeCell="H32" sqref="H32:H38"/>
    </sheetView>
  </sheetViews>
  <sheetFormatPr baseColWidth="10" defaultRowHeight="15" x14ac:dyDescent="0.25"/>
  <cols>
    <col min="2" max="2" width="14.28515625" customWidth="1"/>
    <col min="3" max="5" width="11.42578125" customWidth="1"/>
    <col min="6" max="6" width="14" customWidth="1"/>
    <col min="7" max="7" width="14.5703125" customWidth="1"/>
    <col min="8" max="8" width="17.5703125" customWidth="1"/>
    <col min="9" max="11" width="11.42578125" customWidth="1"/>
  </cols>
  <sheetData>
    <row r="1" spans="1:13" ht="15.75" customHeight="1" thickTop="1" thickBot="1" x14ac:dyDescent="0.3">
      <c r="A1" s="723" t="s">
        <v>773</v>
      </c>
      <c r="B1" s="724"/>
      <c r="C1" s="720" t="s">
        <v>774</v>
      </c>
      <c r="D1" s="720" t="s">
        <v>775</v>
      </c>
      <c r="E1" s="720" t="s">
        <v>790</v>
      </c>
      <c r="F1" s="727" t="s">
        <v>225</v>
      </c>
      <c r="G1" s="728"/>
      <c r="H1" s="728"/>
      <c r="I1" s="728"/>
      <c r="J1" s="728"/>
      <c r="K1" s="358"/>
      <c r="L1" s="752" t="s">
        <v>226</v>
      </c>
      <c r="M1" s="752"/>
    </row>
    <row r="2" spans="1:13" ht="16.5" thickTop="1" thickBot="1" x14ac:dyDescent="0.3">
      <c r="A2" s="725"/>
      <c r="B2" s="726"/>
      <c r="C2" s="721"/>
      <c r="D2" s="721"/>
      <c r="E2" s="721"/>
      <c r="F2" s="729">
        <v>2021</v>
      </c>
      <c r="G2" s="730"/>
      <c r="H2" s="729">
        <v>2022</v>
      </c>
      <c r="I2" s="730"/>
      <c r="J2" s="729">
        <v>2023</v>
      </c>
      <c r="K2" s="730"/>
      <c r="L2" s="743">
        <v>2025</v>
      </c>
      <c r="M2" s="744"/>
    </row>
    <row r="3" spans="1:13" ht="24.75" customHeight="1" thickBot="1" x14ac:dyDescent="0.3">
      <c r="A3" s="725"/>
      <c r="B3" s="726"/>
      <c r="C3" s="722"/>
      <c r="D3" s="722"/>
      <c r="E3" s="722"/>
      <c r="F3" s="366" t="s">
        <v>796</v>
      </c>
      <c r="G3" s="365" t="s">
        <v>797</v>
      </c>
      <c r="H3" s="366" t="s">
        <v>796</v>
      </c>
      <c r="I3" s="365" t="s">
        <v>797</v>
      </c>
      <c r="J3" s="366" t="s">
        <v>796</v>
      </c>
      <c r="K3" s="365" t="s">
        <v>797</v>
      </c>
      <c r="L3" s="366" t="s">
        <v>796</v>
      </c>
      <c r="M3" s="365" t="s">
        <v>797</v>
      </c>
    </row>
    <row r="4" spans="1:13" ht="15.75" thickBot="1" x14ac:dyDescent="0.3">
      <c r="A4" s="725"/>
      <c r="B4" s="726"/>
      <c r="C4" s="355" t="s">
        <v>776</v>
      </c>
      <c r="D4" s="355" t="s">
        <v>777</v>
      </c>
      <c r="E4" s="355" t="s">
        <v>791</v>
      </c>
      <c r="F4" s="355" t="s">
        <v>792</v>
      </c>
      <c r="G4" s="355" t="s">
        <v>793</v>
      </c>
      <c r="H4" s="355" t="s">
        <v>794</v>
      </c>
      <c r="I4" s="355" t="s">
        <v>795</v>
      </c>
      <c r="J4" s="355" t="s">
        <v>798</v>
      </c>
      <c r="K4" s="355" t="s">
        <v>799</v>
      </c>
      <c r="L4" s="355" t="s">
        <v>800</v>
      </c>
      <c r="M4" s="355" t="s">
        <v>801</v>
      </c>
    </row>
    <row r="5" spans="1:13" ht="36.75" thickBot="1" x14ac:dyDescent="0.3">
      <c r="A5" s="745" t="s">
        <v>778</v>
      </c>
      <c r="B5" s="359" t="s">
        <v>779</v>
      </c>
      <c r="C5" s="360">
        <v>7.809477904800001E-2</v>
      </c>
      <c r="D5" s="747">
        <v>0.28571400000000002</v>
      </c>
      <c r="E5" s="360">
        <f>+C5/$D$5</f>
        <v>0.27333200000000002</v>
      </c>
      <c r="F5" s="360">
        <f>+'TABLA GENERAL FASE 1 Y 2 (2)'!U39</f>
        <v>0.34789575319761074</v>
      </c>
      <c r="G5" s="360">
        <f>+F5*E5</f>
        <v>9.5091042013009344E-2</v>
      </c>
      <c r="H5" s="360">
        <f>+'TABLA GENERAL FASE 1 Y 2 (2)'!V39</f>
        <v>0.2593211527035057</v>
      </c>
      <c r="I5" s="360">
        <f>+H5*E5</f>
        <v>7.0880769310754627E-2</v>
      </c>
      <c r="J5" s="360">
        <f>+'TABLA GENERAL FASE 1 Y 2 (2)'!W39</f>
        <v>5.8823529411764705E-3</v>
      </c>
      <c r="K5" s="360">
        <f>+J5*E5</f>
        <v>1.6078352941176471E-3</v>
      </c>
      <c r="L5" s="360">
        <f>+'TABLA GENERAL FASE 1 Y 2 (2)'!X39</f>
        <v>4.4117647058823529E-3</v>
      </c>
      <c r="M5" s="360">
        <f>+L5*E5</f>
        <v>1.2058764705882353E-3</v>
      </c>
    </row>
    <row r="6" spans="1:13" ht="15.75" thickBot="1" x14ac:dyDescent="0.3">
      <c r="A6" s="732"/>
      <c r="B6" s="361" t="s">
        <v>473</v>
      </c>
      <c r="C6" s="360">
        <v>4.4576241138000003E-2</v>
      </c>
      <c r="D6" s="735"/>
      <c r="E6" s="360">
        <f t="shared" ref="E6:E11" si="0">+C6/$D$5</f>
        <v>0.15601699999999999</v>
      </c>
      <c r="F6" s="360">
        <f>+'TABLA GENERAL FASE 1 Y 2 (2)'!U167</f>
        <v>3.2206660441954561E-2</v>
      </c>
      <c r="G6" s="360">
        <f t="shared" ref="G6:G23" si="1">+F6*E6</f>
        <v>5.0247865421724248E-3</v>
      </c>
      <c r="H6" s="360">
        <f>+'TABLA GENERAL FASE 1 Y 2 (2)'!V167</f>
        <v>2.5332310568341607E-2</v>
      </c>
      <c r="I6" s="360">
        <f t="shared" ref="I6:I23" si="2">+H6*E6</f>
        <v>3.9522710979409525E-3</v>
      </c>
      <c r="J6" s="360">
        <f>+'TABLA GENERAL FASE 1 Y 2 (2)'!W167</f>
        <v>5.0967231203262235E-2</v>
      </c>
      <c r="K6" s="360">
        <f t="shared" ref="K6:K24" si="3">+J6*E6</f>
        <v>7.9517545106393642E-3</v>
      </c>
      <c r="L6" s="360">
        <f>+'TABLA GENERAL FASE 1 Y 2 (2)'!X167</f>
        <v>0.44791895471050497</v>
      </c>
      <c r="M6" s="360">
        <f t="shared" ref="M6:M24" si="4">+L6*E6</f>
        <v>6.9882971557068851E-2</v>
      </c>
    </row>
    <row r="7" spans="1:13" ht="15.75" thickBot="1" x14ac:dyDescent="0.3">
      <c r="A7" s="732"/>
      <c r="B7" s="361" t="s">
        <v>517</v>
      </c>
      <c r="C7" s="360">
        <v>3.5862821279999998E-2</v>
      </c>
      <c r="D7" s="735"/>
      <c r="E7" s="360">
        <f t="shared" si="0"/>
        <v>0.12551999999999999</v>
      </c>
      <c r="F7" s="360">
        <f>+'TABLA GENERAL FASE 1 Y 2 (2)'!U198</f>
        <v>1.9230769230769232E-2</v>
      </c>
      <c r="G7" s="360">
        <f t="shared" si="1"/>
        <v>2.413846153846154E-3</v>
      </c>
      <c r="H7" s="360">
        <f>+'TABLA GENERAL FASE 1 Y 2 (2)'!V198</f>
        <v>4.1650230111768577E-2</v>
      </c>
      <c r="I7" s="360">
        <f t="shared" si="2"/>
        <v>5.2279368836291914E-3</v>
      </c>
      <c r="J7" s="360">
        <f>+'TABLA GENERAL FASE 1 Y 2 (2)'!W198</f>
        <v>0.1338757396449704</v>
      </c>
      <c r="K7" s="360">
        <f t="shared" si="3"/>
        <v>1.6804082840236684E-2</v>
      </c>
      <c r="L7" s="360">
        <f>+'TABLA GENERAL FASE 1 Y 2 (2)'!X198</f>
        <v>0.45793885601577916</v>
      </c>
      <c r="M7" s="360">
        <f t="shared" si="4"/>
        <v>5.7480485207100598E-2</v>
      </c>
    </row>
    <row r="8" spans="1:13" ht="15.75" thickBot="1" x14ac:dyDescent="0.3">
      <c r="A8" s="732"/>
      <c r="B8" s="362" t="s">
        <v>309</v>
      </c>
      <c r="C8" s="360">
        <v>5.7839942160000005E-2</v>
      </c>
      <c r="D8" s="735"/>
      <c r="E8" s="360">
        <f t="shared" si="0"/>
        <v>0.20244000000000001</v>
      </c>
      <c r="F8" s="360">
        <f>+'TABLA GENERAL FASE 1 Y 2 (2)'!U132</f>
        <v>4.7021791767554479E-3</v>
      </c>
      <c r="G8" s="360">
        <f t="shared" si="1"/>
        <v>9.5190915254237285E-4</v>
      </c>
      <c r="H8" s="360">
        <f>+'TABLA GENERAL FASE 1 Y 2 (2)'!V132</f>
        <v>1.4762086626223562E-2</v>
      </c>
      <c r="I8" s="360">
        <f t="shared" si="2"/>
        <v>2.9884368166126977E-3</v>
      </c>
      <c r="J8" s="360">
        <f>+'TABLA GENERAL FASE 1 Y 2 (2)'!W132</f>
        <v>8.6853298328260706E-2</v>
      </c>
      <c r="K8" s="360">
        <f t="shared" si="3"/>
        <v>1.7582581713573096E-2</v>
      </c>
      <c r="L8" s="360">
        <f>+'TABLA GENERAL FASE 1 Y 2 (2)'!X132</f>
        <v>0.48398725406667381</v>
      </c>
      <c r="M8" s="360">
        <f t="shared" si="4"/>
        <v>9.7978379713257457E-2</v>
      </c>
    </row>
    <row r="9" spans="1:13" ht="36.75" thickBot="1" x14ac:dyDescent="0.3">
      <c r="A9" s="732"/>
      <c r="B9" s="362" t="s">
        <v>780</v>
      </c>
      <c r="C9" s="360">
        <v>3.0624255090000004E-2</v>
      </c>
      <c r="D9" s="735"/>
      <c r="E9" s="360">
        <f t="shared" si="0"/>
        <v>0.107185</v>
      </c>
      <c r="F9" s="360">
        <f>+'TABLA GENERAL FASE 1 Y 2 (2)'!U232</f>
        <v>7.2727272727272738E-2</v>
      </c>
      <c r="G9" s="360">
        <f t="shared" si="1"/>
        <v>7.7952727272727288E-3</v>
      </c>
      <c r="H9" s="360">
        <f>+'TABLA GENERAL FASE 1 Y 2 (2)'!V232</f>
        <v>0.51427316644707954</v>
      </c>
      <c r="I9" s="360">
        <f t="shared" si="2"/>
        <v>5.5122369345630223E-2</v>
      </c>
      <c r="J9" s="360">
        <f>+'TABLA GENERAL FASE 1 Y 2 (2)'!W232</f>
        <v>0</v>
      </c>
      <c r="K9" s="360">
        <f t="shared" si="3"/>
        <v>0</v>
      </c>
      <c r="L9" s="360">
        <f>+'TABLA GENERAL FASE 1 Y 2 (2)'!X232</f>
        <v>0</v>
      </c>
      <c r="M9" s="360">
        <f t="shared" si="4"/>
        <v>0</v>
      </c>
    </row>
    <row r="10" spans="1:13" ht="27.75" thickBot="1" x14ac:dyDescent="0.3">
      <c r="A10" s="732"/>
      <c r="B10" s="362" t="s">
        <v>781</v>
      </c>
      <c r="C10" s="360">
        <v>1.9515409056000004E-2</v>
      </c>
      <c r="D10" s="735"/>
      <c r="E10" s="360">
        <f t="shared" si="0"/>
        <v>6.8304000000000004E-2</v>
      </c>
      <c r="F10" s="360">
        <f>+'TABLA GENERAL FASE 1 Y 2 (2)'!U250</f>
        <v>0</v>
      </c>
      <c r="G10" s="360">
        <f t="shared" si="1"/>
        <v>0</v>
      </c>
      <c r="H10" s="360">
        <f>+'TABLA GENERAL FASE 1 Y 2 (2)'!V250</f>
        <v>0</v>
      </c>
      <c r="I10" s="360">
        <f t="shared" si="2"/>
        <v>0</v>
      </c>
      <c r="J10" s="360">
        <f>+'TABLA GENERAL FASE 1 Y 2 (2)'!W250</f>
        <v>0</v>
      </c>
      <c r="K10" s="360">
        <f t="shared" si="3"/>
        <v>0</v>
      </c>
      <c r="L10" s="360">
        <f>+'TABLA GENERAL FASE 1 Y 2 (2)'!X250</f>
        <v>1</v>
      </c>
      <c r="M10" s="360">
        <f t="shared" si="4"/>
        <v>6.8304000000000004E-2</v>
      </c>
    </row>
    <row r="11" spans="1:13" ht="45.75" thickBot="1" x14ac:dyDescent="0.3">
      <c r="A11" s="746"/>
      <c r="B11" s="361" t="s">
        <v>782</v>
      </c>
      <c r="C11" s="360">
        <v>1.9200552228E-2</v>
      </c>
      <c r="D11" s="748"/>
      <c r="E11" s="360">
        <f t="shared" si="0"/>
        <v>6.7201999999999998E-2</v>
      </c>
      <c r="F11" s="360">
        <f>+'TABLA GENERAL FASE 1 Y 2 (2)'!U258</f>
        <v>0</v>
      </c>
      <c r="G11" s="360">
        <f t="shared" si="1"/>
        <v>0</v>
      </c>
      <c r="H11" s="360">
        <f>+'TABLA GENERAL FASE 1 Y 2 (2)'!V258</f>
        <v>0</v>
      </c>
      <c r="I11" s="360">
        <f t="shared" si="2"/>
        <v>0</v>
      </c>
      <c r="J11" s="360">
        <f>+'TABLA GENERAL FASE 1 Y 2 (2)'!W258</f>
        <v>0</v>
      </c>
      <c r="K11" s="360">
        <f t="shared" si="3"/>
        <v>0</v>
      </c>
      <c r="L11" s="360">
        <f>+'TABLA GENERAL FASE 1 Y 2 (2)'!X258</f>
        <v>0.5</v>
      </c>
      <c r="M11" s="360">
        <f t="shared" si="4"/>
        <v>3.3600999999999999E-2</v>
      </c>
    </row>
    <row r="12" spans="1:13" ht="36.75" thickBot="1" x14ac:dyDescent="0.3">
      <c r="A12" s="732" t="s">
        <v>783</v>
      </c>
      <c r="B12" s="361" t="s">
        <v>779</v>
      </c>
      <c r="C12" s="363">
        <v>0.18115899301199997</v>
      </c>
      <c r="D12" s="735">
        <v>0.57142899999999996</v>
      </c>
      <c r="E12" s="360">
        <f>+C12/$D$12</f>
        <v>0.31702799999999998</v>
      </c>
      <c r="F12" s="360">
        <f>+F5</f>
        <v>0.34789575319761074</v>
      </c>
      <c r="G12" s="360">
        <f t="shared" si="1"/>
        <v>0.11029269484473213</v>
      </c>
      <c r="H12" s="360">
        <f t="shared" ref="H12:L12" si="5">+H5</f>
        <v>0.2593211527035057</v>
      </c>
      <c r="I12" s="360">
        <f t="shared" si="2"/>
        <v>8.2212066399286993E-2</v>
      </c>
      <c r="J12" s="360">
        <f t="shared" si="5"/>
        <v>5.8823529411764705E-3</v>
      </c>
      <c r="K12" s="360">
        <f t="shared" si="3"/>
        <v>1.8648705882352941E-3</v>
      </c>
      <c r="L12" s="360">
        <f t="shared" si="5"/>
        <v>4.4117647058823529E-3</v>
      </c>
      <c r="M12" s="360">
        <f t="shared" si="4"/>
        <v>1.3986529411764705E-3</v>
      </c>
    </row>
    <row r="13" spans="1:13" ht="15.75" thickBot="1" x14ac:dyDescent="0.3">
      <c r="A13" s="732"/>
      <c r="B13" s="361" t="s">
        <v>473</v>
      </c>
      <c r="C13" s="363">
        <v>6.8610908600999998E-2</v>
      </c>
      <c r="D13" s="735"/>
      <c r="E13" s="360">
        <f t="shared" ref="E13:E17" si="6">+C13/$D$12</f>
        <v>0.12006900000000001</v>
      </c>
      <c r="F13" s="360">
        <f t="shared" ref="F13:L13" si="7">+F6</f>
        <v>3.2206660441954561E-2</v>
      </c>
      <c r="G13" s="360">
        <f t="shared" si="1"/>
        <v>3.8670215126050426E-3</v>
      </c>
      <c r="H13" s="360">
        <f t="shared" si="7"/>
        <v>2.5332310568341607E-2</v>
      </c>
      <c r="I13" s="360">
        <f t="shared" si="2"/>
        <v>3.0416251976302087E-3</v>
      </c>
      <c r="J13" s="360">
        <f t="shared" si="7"/>
        <v>5.0967231203262235E-2</v>
      </c>
      <c r="K13" s="360">
        <f t="shared" si="3"/>
        <v>6.1195844833444937E-3</v>
      </c>
      <c r="L13" s="360">
        <f t="shared" si="7"/>
        <v>0.44791895471050497</v>
      </c>
      <c r="M13" s="360">
        <f t="shared" si="4"/>
        <v>5.3781180973135626E-2</v>
      </c>
    </row>
    <row r="14" spans="1:13" ht="15.75" thickBot="1" x14ac:dyDescent="0.3">
      <c r="A14" s="732"/>
      <c r="B14" s="361" t="s">
        <v>517</v>
      </c>
      <c r="C14" s="363">
        <v>6.3260618874000002E-2</v>
      </c>
      <c r="D14" s="735"/>
      <c r="E14" s="360">
        <f t="shared" si="6"/>
        <v>0.11070600000000001</v>
      </c>
      <c r="F14" s="360">
        <f t="shared" ref="F14:L14" si="8">+F7</f>
        <v>1.9230769230769232E-2</v>
      </c>
      <c r="G14" s="360">
        <f t="shared" si="1"/>
        <v>2.1289615384615388E-3</v>
      </c>
      <c r="H14" s="360">
        <f t="shared" si="8"/>
        <v>4.1650230111768577E-2</v>
      </c>
      <c r="I14" s="360">
        <f t="shared" si="2"/>
        <v>4.6109303747534523E-3</v>
      </c>
      <c r="J14" s="360">
        <f t="shared" si="8"/>
        <v>0.1338757396449704</v>
      </c>
      <c r="K14" s="360">
        <f t="shared" si="3"/>
        <v>1.4820847633136095E-2</v>
      </c>
      <c r="L14" s="360">
        <f t="shared" si="8"/>
        <v>0.45793885601577916</v>
      </c>
      <c r="M14" s="360">
        <f t="shared" si="4"/>
        <v>5.0696578994082857E-2</v>
      </c>
    </row>
    <row r="15" spans="1:13" ht="15.75" thickBot="1" x14ac:dyDescent="0.3">
      <c r="A15" s="732"/>
      <c r="B15" s="361" t="s">
        <v>309</v>
      </c>
      <c r="C15" s="363">
        <v>8.7620637143999994E-2</v>
      </c>
      <c r="D15" s="735"/>
      <c r="E15" s="360">
        <f t="shared" si="6"/>
        <v>0.153336</v>
      </c>
      <c r="F15" s="360">
        <f t="shared" ref="F15:L15" si="9">+F8</f>
        <v>4.7021791767554479E-3</v>
      </c>
      <c r="G15" s="360">
        <f t="shared" si="1"/>
        <v>7.2101334624697332E-4</v>
      </c>
      <c r="H15" s="360">
        <f t="shared" si="9"/>
        <v>1.4762086626223562E-2</v>
      </c>
      <c r="I15" s="360">
        <f t="shared" si="2"/>
        <v>2.263559314918616E-3</v>
      </c>
      <c r="J15" s="360">
        <f t="shared" si="9"/>
        <v>8.6853298328260706E-2</v>
      </c>
      <c r="K15" s="360">
        <f t="shared" si="3"/>
        <v>1.3317737352462184E-2</v>
      </c>
      <c r="L15" s="360">
        <f t="shared" si="9"/>
        <v>0.48398725406667381</v>
      </c>
      <c r="M15" s="360">
        <f t="shared" si="4"/>
        <v>7.4212669589567501E-2</v>
      </c>
    </row>
    <row r="16" spans="1:13" ht="36.75" thickBot="1" x14ac:dyDescent="0.3">
      <c r="A16" s="732"/>
      <c r="B16" s="361" t="s">
        <v>784</v>
      </c>
      <c r="C16" s="363">
        <v>0.10388579219999999</v>
      </c>
      <c r="D16" s="735"/>
      <c r="E16" s="360">
        <f t="shared" si="6"/>
        <v>0.18179999999999999</v>
      </c>
      <c r="F16" s="360">
        <f>+'TABLA GENERAL FASE 1 Y 2 (2)'!U212</f>
        <v>0.33750000000000002</v>
      </c>
      <c r="G16" s="360">
        <f t="shared" si="1"/>
        <v>6.1357500000000002E-2</v>
      </c>
      <c r="H16" s="360">
        <f>+'TABLA GENERAL FASE 1 Y 2 (2)'!V212</f>
        <v>0.4250000000000001</v>
      </c>
      <c r="I16" s="360">
        <f t="shared" si="2"/>
        <v>7.7265000000000014E-2</v>
      </c>
      <c r="J16" s="360">
        <f>+'TABLA GENERAL FASE 1 Y 2 (2)'!W212</f>
        <v>0</v>
      </c>
      <c r="K16" s="360">
        <f t="shared" si="3"/>
        <v>0</v>
      </c>
      <c r="L16" s="360">
        <f>+'TABLA GENERAL FASE 1 Y 2 (2)'!X212</f>
        <v>0</v>
      </c>
      <c r="M16" s="360">
        <f t="shared" si="4"/>
        <v>0</v>
      </c>
    </row>
    <row r="17" spans="1:13" ht="54.75" thickBot="1" x14ac:dyDescent="0.3">
      <c r="A17" s="733"/>
      <c r="B17" s="364" t="s">
        <v>785</v>
      </c>
      <c r="C17" s="363">
        <v>6.6892621597999996E-2</v>
      </c>
      <c r="D17" s="736"/>
      <c r="E17" s="360">
        <f t="shared" si="6"/>
        <v>0.117062</v>
      </c>
      <c r="F17" s="360">
        <f>+'TABLA GENERAL FASE 1 Y 2 (2)'!U217</f>
        <v>0</v>
      </c>
      <c r="G17" s="360">
        <f t="shared" si="1"/>
        <v>0</v>
      </c>
      <c r="H17" s="360">
        <f>+'TABLA GENERAL FASE 1 Y 2 (2)'!V217</f>
        <v>0</v>
      </c>
      <c r="I17" s="360">
        <f t="shared" si="2"/>
        <v>0</v>
      </c>
      <c r="J17" s="360">
        <f>+'TABLA GENERAL FASE 1 Y 2 (2)'!W217</f>
        <v>0</v>
      </c>
      <c r="K17" s="360">
        <f t="shared" si="3"/>
        <v>0</v>
      </c>
      <c r="L17" s="360">
        <f>+'TABLA GENERAL FASE 1 Y 2 (2)'!X217</f>
        <v>0.16666666666666666</v>
      </c>
      <c r="M17" s="360">
        <f t="shared" si="4"/>
        <v>1.9510333333333331E-2</v>
      </c>
    </row>
    <row r="18" spans="1:13" ht="37.5" thickTop="1" thickBot="1" x14ac:dyDescent="0.3">
      <c r="A18" s="731" t="s">
        <v>786</v>
      </c>
      <c r="B18" s="361" t="s">
        <v>779</v>
      </c>
      <c r="C18" s="363">
        <v>3.4037823105000004E-2</v>
      </c>
      <c r="D18" s="734">
        <v>0.14285700000000001</v>
      </c>
      <c r="E18" s="363">
        <f>+C18/$D$18</f>
        <v>0.238265</v>
      </c>
      <c r="F18" s="363">
        <f>+F12</f>
        <v>0.34789575319761074</v>
      </c>
      <c r="G18" s="360">
        <f t="shared" si="1"/>
        <v>8.289138163562873E-2</v>
      </c>
      <c r="H18" s="363">
        <f t="shared" ref="H18:L18" si="10">+H12</f>
        <v>0.2593211527035057</v>
      </c>
      <c r="I18" s="360">
        <f t="shared" si="2"/>
        <v>6.1787154448900788E-2</v>
      </c>
      <c r="J18" s="363">
        <f t="shared" si="10"/>
        <v>5.8823529411764705E-3</v>
      </c>
      <c r="K18" s="360">
        <f t="shared" si="3"/>
        <v>1.4015588235294118E-3</v>
      </c>
      <c r="L18" s="363">
        <f t="shared" si="10"/>
        <v>4.4117647058823529E-3</v>
      </c>
      <c r="M18" s="360">
        <f t="shared" si="4"/>
        <v>1.0511691176470588E-3</v>
      </c>
    </row>
    <row r="19" spans="1:13" ht="15.75" thickBot="1" x14ac:dyDescent="0.3">
      <c r="A19" s="732"/>
      <c r="B19" s="361" t="s">
        <v>473</v>
      </c>
      <c r="C19" s="363">
        <v>1.6761983237999999E-2</v>
      </c>
      <c r="D19" s="735"/>
      <c r="E19" s="363">
        <f t="shared" ref="E19:E24" si="11">+C19/$D$18</f>
        <v>0.11733399999999998</v>
      </c>
      <c r="F19" s="363">
        <f t="shared" ref="F19:L19" si="12">+F13</f>
        <v>3.2206660441954561E-2</v>
      </c>
      <c r="G19" s="360">
        <f t="shared" si="1"/>
        <v>3.7789362962962958E-3</v>
      </c>
      <c r="H19" s="363">
        <f t="shared" si="12"/>
        <v>2.5332310568341607E-2</v>
      </c>
      <c r="I19" s="360">
        <f t="shared" si="2"/>
        <v>2.9723413282257936E-3</v>
      </c>
      <c r="J19" s="363">
        <f t="shared" si="12"/>
        <v>5.0967231203262235E-2</v>
      </c>
      <c r="K19" s="360">
        <f t="shared" si="3"/>
        <v>5.98018910600357E-3</v>
      </c>
      <c r="L19" s="363">
        <f t="shared" si="12"/>
        <v>0.44791895471050497</v>
      </c>
      <c r="M19" s="360">
        <f t="shared" si="4"/>
        <v>5.2556122632002378E-2</v>
      </c>
    </row>
    <row r="20" spans="1:13" ht="15.75" thickBot="1" x14ac:dyDescent="0.3">
      <c r="A20" s="732"/>
      <c r="B20" s="361" t="s">
        <v>517</v>
      </c>
      <c r="C20" s="363">
        <v>2.1580264134E-2</v>
      </c>
      <c r="D20" s="735"/>
      <c r="E20" s="363">
        <f t="shared" si="11"/>
        <v>0.151062</v>
      </c>
      <c r="F20" s="363">
        <f t="shared" ref="F20:L20" si="13">+F14</f>
        <v>1.9230769230769232E-2</v>
      </c>
      <c r="G20" s="360">
        <f t="shared" si="1"/>
        <v>2.9050384615384619E-3</v>
      </c>
      <c r="H20" s="363">
        <f t="shared" si="13"/>
        <v>4.1650230111768577E-2</v>
      </c>
      <c r="I20" s="360">
        <f t="shared" si="2"/>
        <v>6.291767061143985E-3</v>
      </c>
      <c r="J20" s="363">
        <f t="shared" si="13"/>
        <v>0.1338757396449704</v>
      </c>
      <c r="K20" s="360">
        <f t="shared" si="3"/>
        <v>2.0223536982248519E-2</v>
      </c>
      <c r="L20" s="363">
        <f t="shared" si="13"/>
        <v>0.45793885601577916</v>
      </c>
      <c r="M20" s="360">
        <f t="shared" si="4"/>
        <v>6.9177159467455632E-2</v>
      </c>
    </row>
    <row r="21" spans="1:13" ht="15.75" thickBot="1" x14ac:dyDescent="0.3">
      <c r="A21" s="732"/>
      <c r="B21" s="361" t="s">
        <v>309</v>
      </c>
      <c r="C21" s="363">
        <v>1.1576702709000001E-2</v>
      </c>
      <c r="D21" s="735"/>
      <c r="E21" s="363">
        <f t="shared" si="11"/>
        <v>8.1036999999999998E-2</v>
      </c>
      <c r="F21" s="363">
        <f t="shared" ref="F21:L21" si="14">+F15</f>
        <v>4.7021791767554479E-3</v>
      </c>
      <c r="G21" s="360">
        <f t="shared" si="1"/>
        <v>3.8105049394673119E-4</v>
      </c>
      <c r="H21" s="363">
        <f t="shared" si="14"/>
        <v>1.4762086626223562E-2</v>
      </c>
      <c r="I21" s="360">
        <f t="shared" si="2"/>
        <v>1.1962752139292787E-3</v>
      </c>
      <c r="J21" s="363">
        <f t="shared" si="14"/>
        <v>8.6853298328260706E-2</v>
      </c>
      <c r="K21" s="360">
        <f t="shared" si="3"/>
        <v>7.0383307366272624E-3</v>
      </c>
      <c r="L21" s="363">
        <f t="shared" si="14"/>
        <v>0.48398725406667381</v>
      </c>
      <c r="M21" s="360">
        <f t="shared" si="4"/>
        <v>3.9220875107801041E-2</v>
      </c>
    </row>
    <row r="22" spans="1:13" ht="18.75" thickBot="1" x14ac:dyDescent="0.3">
      <c r="A22" s="732"/>
      <c r="B22" s="361" t="s">
        <v>787</v>
      </c>
      <c r="C22" s="363">
        <v>1.5572841570000001E-2</v>
      </c>
      <c r="D22" s="735"/>
      <c r="E22" s="363">
        <f t="shared" si="11"/>
        <v>0.10901</v>
      </c>
      <c r="F22" s="363">
        <f>+'TABLA GENERAL FASE 1 Y 2 (2)'!U267</f>
        <v>0.6</v>
      </c>
      <c r="G22" s="360">
        <f t="shared" si="1"/>
        <v>6.5405999999999992E-2</v>
      </c>
      <c r="H22" s="363">
        <f>+'TABLA GENERAL FASE 1 Y 2 (2)'!V267</f>
        <v>0</v>
      </c>
      <c r="I22" s="360">
        <f t="shared" si="2"/>
        <v>0</v>
      </c>
      <c r="J22" s="363">
        <f>+'TABLA GENERAL FASE 1 Y 2 (2)'!W267</f>
        <v>0</v>
      </c>
      <c r="K22" s="360">
        <f t="shared" si="3"/>
        <v>0</v>
      </c>
      <c r="L22" s="363">
        <f>+'TABLA GENERAL FASE 1 Y 2 (2)'!X267</f>
        <v>0.4</v>
      </c>
      <c r="M22" s="360">
        <f t="shared" si="4"/>
        <v>4.3604000000000004E-2</v>
      </c>
    </row>
    <row r="23" spans="1:13" ht="36.75" thickBot="1" x14ac:dyDescent="0.3">
      <c r="A23" s="732"/>
      <c r="B23" s="361" t="s">
        <v>788</v>
      </c>
      <c r="C23" s="363">
        <v>2.0369693915999999E-2</v>
      </c>
      <c r="D23" s="735"/>
      <c r="E23" s="363">
        <f t="shared" si="11"/>
        <v>0.14258799999999999</v>
      </c>
      <c r="F23" s="363">
        <f>+'TABLA GENERAL FASE 1 Y 2 (2)'!U246</f>
        <v>0</v>
      </c>
      <c r="G23" s="360">
        <f t="shared" si="1"/>
        <v>0</v>
      </c>
      <c r="H23" s="363">
        <f>+'TABLA GENERAL FASE 1 Y 2 (2)'!V246</f>
        <v>0</v>
      </c>
      <c r="I23" s="360">
        <f t="shared" si="2"/>
        <v>0</v>
      </c>
      <c r="J23" s="363">
        <f>+'TABLA GENERAL FASE 1 Y 2 (2)'!W246</f>
        <v>0</v>
      </c>
      <c r="K23" s="360">
        <f t="shared" si="3"/>
        <v>0</v>
      </c>
      <c r="L23" s="363">
        <f>+'TABLA GENERAL FASE 1 Y 2 (2)'!X246</f>
        <v>1</v>
      </c>
      <c r="M23" s="360">
        <f t="shared" si="4"/>
        <v>0.14258799999999999</v>
      </c>
    </row>
    <row r="24" spans="1:13" ht="18.75" thickBot="1" x14ac:dyDescent="0.3">
      <c r="A24" s="733"/>
      <c r="B24" s="364" t="s">
        <v>572</v>
      </c>
      <c r="C24" s="363">
        <v>2.2999977000000001E-2</v>
      </c>
      <c r="D24" s="736"/>
      <c r="E24" s="363">
        <f t="shared" si="11"/>
        <v>0.161</v>
      </c>
      <c r="F24" s="363">
        <f>+'TABLA GENERAL FASE 1 Y 2 (2)'!U240</f>
        <v>0.43333333333333335</v>
      </c>
      <c r="G24" s="360">
        <f>+F24*E24</f>
        <v>6.9766666666666671E-2</v>
      </c>
      <c r="H24" s="363">
        <f>+'TABLA GENERAL FASE 1 Y 2 (2)'!V240</f>
        <v>0</v>
      </c>
      <c r="I24" s="360">
        <f>+H24*E24</f>
        <v>0</v>
      </c>
      <c r="J24" s="363">
        <f>+'TABLA GENERAL FASE 1 Y 2 (2)'!W240</f>
        <v>0.33333333333333331</v>
      </c>
      <c r="K24" s="360">
        <f t="shared" si="3"/>
        <v>5.3666666666666668E-2</v>
      </c>
      <c r="L24" s="363">
        <f>+'TABLA GENERAL FASE 1 Y 2 (2)'!X240</f>
        <v>0.23333333333333331</v>
      </c>
      <c r="M24" s="360">
        <f t="shared" si="4"/>
        <v>3.7566666666666665E-2</v>
      </c>
    </row>
    <row r="25" spans="1:13" ht="16.5" thickTop="1" thickBot="1" x14ac:dyDescent="0.3">
      <c r="A25" s="718" t="s">
        <v>789</v>
      </c>
      <c r="B25" s="719"/>
      <c r="C25" s="356"/>
      <c r="D25" s="357">
        <f>SUM(D5:D24)</f>
        <v>1</v>
      </c>
      <c r="E25" s="356"/>
      <c r="F25" s="356"/>
      <c r="G25" s="356"/>
      <c r="H25" s="356"/>
      <c r="I25" s="356"/>
      <c r="J25" s="356"/>
      <c r="K25" s="356"/>
      <c r="L25" s="356"/>
      <c r="M25" s="356"/>
    </row>
    <row r="26" spans="1:13" ht="15.75" thickTop="1" x14ac:dyDescent="0.25"/>
    <row r="30" spans="1:13" ht="15.75" customHeight="1" thickBot="1" x14ac:dyDescent="0.3">
      <c r="A30" s="749" t="s">
        <v>804</v>
      </c>
      <c r="B30" s="750"/>
      <c r="C30" s="750"/>
      <c r="D30" s="750"/>
      <c r="E30" s="750"/>
      <c r="F30" s="750"/>
      <c r="G30" s="750"/>
      <c r="H30" s="751"/>
    </row>
    <row r="31" spans="1:13" ht="15.75" thickBot="1" x14ac:dyDescent="0.3">
      <c r="A31" s="367"/>
      <c r="B31" s="368" t="s">
        <v>802</v>
      </c>
      <c r="C31" s="369">
        <v>2021</v>
      </c>
      <c r="D31" s="369">
        <v>2022</v>
      </c>
      <c r="E31" s="369">
        <v>2023</v>
      </c>
      <c r="F31" s="369" t="s">
        <v>803</v>
      </c>
      <c r="G31" s="369">
        <v>2025</v>
      </c>
      <c r="H31" s="369" t="s">
        <v>96</v>
      </c>
    </row>
    <row r="32" spans="1:13" x14ac:dyDescent="0.25">
      <c r="A32" s="753" t="s">
        <v>778</v>
      </c>
      <c r="B32" s="737">
        <v>0.28571400000000002</v>
      </c>
      <c r="C32" s="737">
        <f>+SUM(G5:G11)</f>
        <v>0.11127685658884302</v>
      </c>
      <c r="D32" s="737">
        <f>+SUM(I5:I11)</f>
        <v>0.13817178345456768</v>
      </c>
      <c r="E32" s="737">
        <f>+SUM(K5:K11)</f>
        <v>4.3946254358566791E-2</v>
      </c>
      <c r="F32" s="737">
        <f>SUM(C32:E38)</f>
        <v>0.29339489440197752</v>
      </c>
      <c r="G32" s="737">
        <f>+SUM(M5:M11)</f>
        <v>0.32845271294801515</v>
      </c>
      <c r="H32" s="737">
        <f>+G32+E32+D32+C32</f>
        <v>0.62184760734999267</v>
      </c>
    </row>
    <row r="33" spans="1:8" x14ac:dyDescent="0.25">
      <c r="A33" s="741"/>
      <c r="B33" s="738"/>
      <c r="C33" s="738"/>
      <c r="D33" s="738"/>
      <c r="E33" s="738"/>
      <c r="F33" s="738"/>
      <c r="G33" s="738"/>
      <c r="H33" s="738"/>
    </row>
    <row r="34" spans="1:8" x14ac:dyDescent="0.25">
      <c r="A34" s="741"/>
      <c r="B34" s="738"/>
      <c r="C34" s="738"/>
      <c r="D34" s="738"/>
      <c r="E34" s="738"/>
      <c r="F34" s="738"/>
      <c r="G34" s="738"/>
      <c r="H34" s="738"/>
    </row>
    <row r="35" spans="1:8" x14ac:dyDescent="0.25">
      <c r="A35" s="741"/>
      <c r="B35" s="738"/>
      <c r="C35" s="738"/>
      <c r="D35" s="738"/>
      <c r="E35" s="738"/>
      <c r="F35" s="738"/>
      <c r="G35" s="738"/>
      <c r="H35" s="738"/>
    </row>
    <row r="36" spans="1:8" x14ac:dyDescent="0.25">
      <c r="A36" s="741"/>
      <c r="B36" s="738"/>
      <c r="C36" s="738"/>
      <c r="D36" s="738"/>
      <c r="E36" s="738"/>
      <c r="F36" s="738"/>
      <c r="G36" s="738"/>
      <c r="H36" s="738"/>
    </row>
    <row r="37" spans="1:8" x14ac:dyDescent="0.25">
      <c r="A37" s="741"/>
      <c r="B37" s="738"/>
      <c r="C37" s="738"/>
      <c r="D37" s="738"/>
      <c r="E37" s="738"/>
      <c r="F37" s="738"/>
      <c r="G37" s="738"/>
      <c r="H37" s="738"/>
    </row>
    <row r="38" spans="1:8" ht="15.75" thickBot="1" x14ac:dyDescent="0.3">
      <c r="A38" s="754"/>
      <c r="B38" s="739"/>
      <c r="C38" s="739"/>
      <c r="D38" s="739"/>
      <c r="E38" s="739"/>
      <c r="F38" s="739"/>
      <c r="G38" s="739"/>
      <c r="H38" s="739"/>
    </row>
    <row r="39" spans="1:8" x14ac:dyDescent="0.25">
      <c r="A39" s="741" t="s">
        <v>783</v>
      </c>
      <c r="B39" s="737">
        <f>D12</f>
        <v>0.57142899999999996</v>
      </c>
      <c r="C39" s="737">
        <f>SUM(G12:G17)</f>
        <v>0.17836719124204567</v>
      </c>
      <c r="D39" s="737">
        <f>SUM(I12:I17)</f>
        <v>0.16939318128658928</v>
      </c>
      <c r="E39" s="737">
        <f>SUM(K12:K17)</f>
        <v>3.6123040057178063E-2</v>
      </c>
      <c r="F39" s="737">
        <f>SUM(C39:E44)</f>
        <v>0.38388341258581304</v>
      </c>
      <c r="G39" s="737">
        <f>SUM(M12:M17)</f>
        <v>0.19959941583129578</v>
      </c>
      <c r="H39" s="737">
        <f>+G39+E39+D39+C39</f>
        <v>0.58348282841710886</v>
      </c>
    </row>
    <row r="40" spans="1:8" x14ac:dyDescent="0.25">
      <c r="A40" s="741"/>
      <c r="B40" s="738"/>
      <c r="C40" s="738"/>
      <c r="D40" s="738"/>
      <c r="E40" s="738"/>
      <c r="F40" s="738"/>
      <c r="G40" s="738"/>
      <c r="H40" s="738"/>
    </row>
    <row r="41" spans="1:8" x14ac:dyDescent="0.25">
      <c r="A41" s="741"/>
      <c r="B41" s="738"/>
      <c r="C41" s="738"/>
      <c r="D41" s="738"/>
      <c r="E41" s="738"/>
      <c r="F41" s="738"/>
      <c r="G41" s="738"/>
      <c r="H41" s="738"/>
    </row>
    <row r="42" spans="1:8" x14ac:dyDescent="0.25">
      <c r="A42" s="741"/>
      <c r="B42" s="738"/>
      <c r="C42" s="738"/>
      <c r="D42" s="738"/>
      <c r="E42" s="738"/>
      <c r="F42" s="738"/>
      <c r="G42" s="738"/>
      <c r="H42" s="738"/>
    </row>
    <row r="43" spans="1:8" x14ac:dyDescent="0.25">
      <c r="A43" s="741"/>
      <c r="B43" s="738"/>
      <c r="C43" s="738"/>
      <c r="D43" s="738"/>
      <c r="E43" s="738"/>
      <c r="F43" s="738"/>
      <c r="G43" s="738"/>
      <c r="H43" s="738"/>
    </row>
    <row r="44" spans="1:8" ht="15.75" thickBot="1" x14ac:dyDescent="0.3">
      <c r="A44" s="742"/>
      <c r="B44" s="738"/>
      <c r="C44" s="738"/>
      <c r="D44" s="738"/>
      <c r="E44" s="738"/>
      <c r="F44" s="738"/>
      <c r="G44" s="738"/>
      <c r="H44" s="738"/>
    </row>
    <row r="45" spans="1:8" ht="15.75" thickTop="1" x14ac:dyDescent="0.25">
      <c r="A45" s="740" t="s">
        <v>786</v>
      </c>
      <c r="B45" s="755">
        <f>D18</f>
        <v>0.14285700000000001</v>
      </c>
      <c r="C45" s="737">
        <f>SUM(G18:G24)</f>
        <v>0.22512907355407688</v>
      </c>
      <c r="D45" s="737">
        <f>SUM(I18:I24)</f>
        <v>7.2247538052199842E-2</v>
      </c>
      <c r="E45" s="737">
        <f>SUM(K18:K24)</f>
        <v>8.8310282315075428E-2</v>
      </c>
      <c r="F45" s="737">
        <f>SUM(C45:E50)</f>
        <v>0.38568689392135214</v>
      </c>
      <c r="G45" s="737">
        <f>SUM(M18:M24)</f>
        <v>0.38576399299157271</v>
      </c>
      <c r="H45" s="737">
        <f>+G45+E45+D45+C45</f>
        <v>0.77145088691292485</v>
      </c>
    </row>
    <row r="46" spans="1:8" x14ac:dyDescent="0.25">
      <c r="A46" s="741"/>
      <c r="B46" s="756"/>
      <c r="C46" s="738"/>
      <c r="D46" s="738"/>
      <c r="E46" s="738"/>
      <c r="F46" s="738"/>
      <c r="G46" s="738"/>
      <c r="H46" s="738"/>
    </row>
    <row r="47" spans="1:8" x14ac:dyDescent="0.25">
      <c r="A47" s="741"/>
      <c r="B47" s="756"/>
      <c r="C47" s="738"/>
      <c r="D47" s="738"/>
      <c r="E47" s="738"/>
      <c r="F47" s="738"/>
      <c r="G47" s="738"/>
      <c r="H47" s="738"/>
    </row>
    <row r="48" spans="1:8" x14ac:dyDescent="0.25">
      <c r="A48" s="741"/>
      <c r="B48" s="756"/>
      <c r="C48" s="738"/>
      <c r="D48" s="738"/>
      <c r="E48" s="738"/>
      <c r="F48" s="738"/>
      <c r="G48" s="738"/>
      <c r="H48" s="738"/>
    </row>
    <row r="49" spans="1:8" x14ac:dyDescent="0.25">
      <c r="A49" s="741"/>
      <c r="B49" s="756"/>
      <c r="C49" s="738"/>
      <c r="D49" s="738"/>
      <c r="E49" s="738"/>
      <c r="F49" s="738"/>
      <c r="G49" s="738"/>
      <c r="H49" s="738"/>
    </row>
    <row r="50" spans="1:8" x14ac:dyDescent="0.25">
      <c r="A50" s="741"/>
      <c r="B50" s="756"/>
      <c r="C50" s="738"/>
      <c r="D50" s="738"/>
      <c r="E50" s="738"/>
      <c r="F50" s="738"/>
      <c r="G50" s="738"/>
      <c r="H50" s="738"/>
    </row>
    <row r="51" spans="1:8" ht="15.75" thickBot="1" x14ac:dyDescent="0.3">
      <c r="A51" s="742"/>
      <c r="B51" s="757"/>
      <c r="C51" s="739"/>
      <c r="D51" s="739"/>
      <c r="E51" s="739"/>
      <c r="F51" s="739"/>
      <c r="G51" s="739"/>
      <c r="H51" s="739"/>
    </row>
    <row r="52" spans="1:8" ht="15.75" thickTop="1" x14ac:dyDescent="0.25"/>
  </sheetData>
  <mergeCells count="42">
    <mergeCell ref="A39:A44"/>
    <mergeCell ref="B39:B44"/>
    <mergeCell ref="C39:C44"/>
    <mergeCell ref="D39:D44"/>
    <mergeCell ref="H39:H44"/>
    <mergeCell ref="E39:E44"/>
    <mergeCell ref="G39:G44"/>
    <mergeCell ref="H45:H51"/>
    <mergeCell ref="B45:B51"/>
    <mergeCell ref="C45:C51"/>
    <mergeCell ref="D45:D51"/>
    <mergeCell ref="E45:E51"/>
    <mergeCell ref="A45:A51"/>
    <mergeCell ref="J2:K2"/>
    <mergeCell ref="L2:M2"/>
    <mergeCell ref="D1:D3"/>
    <mergeCell ref="A5:A11"/>
    <mergeCell ref="D5:D11"/>
    <mergeCell ref="A12:A17"/>
    <mergeCell ref="D12:D17"/>
    <mergeCell ref="F32:F38"/>
    <mergeCell ref="F39:F44"/>
    <mergeCell ref="F45:F51"/>
    <mergeCell ref="A30:H30"/>
    <mergeCell ref="G45:G51"/>
    <mergeCell ref="H32:H38"/>
    <mergeCell ref="L1:M1"/>
    <mergeCell ref="A32:A38"/>
    <mergeCell ref="B32:B38"/>
    <mergeCell ref="C32:C38"/>
    <mergeCell ref="D32:D38"/>
    <mergeCell ref="E32:E38"/>
    <mergeCell ref="G32:G38"/>
    <mergeCell ref="A25:B25"/>
    <mergeCell ref="E1:E3"/>
    <mergeCell ref="A1:B4"/>
    <mergeCell ref="C1:C3"/>
    <mergeCell ref="F1:J1"/>
    <mergeCell ref="F2:G2"/>
    <mergeCell ref="H2:I2"/>
    <mergeCell ref="A18:A24"/>
    <mergeCell ref="D18:D24"/>
  </mergeCells>
  <pageMargins left="0.7" right="0.7" top="0.75" bottom="0.75" header="0.3" footer="0.3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0"/>
  <sheetViews>
    <sheetView topLeftCell="A31" workbookViewId="0">
      <selection activeCell="H5" sqref="H5"/>
    </sheetView>
  </sheetViews>
  <sheetFormatPr baseColWidth="10" defaultRowHeight="15" x14ac:dyDescent="0.25"/>
  <cols>
    <col min="1" max="1" width="15.7109375" style="391" customWidth="1"/>
    <col min="2" max="2" width="58.5703125" style="391" customWidth="1"/>
    <col min="3" max="3" width="11.42578125" style="391" customWidth="1"/>
    <col min="4" max="4" width="16.7109375" style="27" hidden="1" customWidth="1"/>
    <col min="5" max="5" width="18.42578125" style="27" hidden="1" customWidth="1"/>
  </cols>
  <sheetData>
    <row r="1" spans="1:5" thickBot="1" x14ac:dyDescent="0.35"/>
    <row r="2" spans="1:5" ht="28.15" thickBot="1" x14ac:dyDescent="0.35">
      <c r="A2" s="466" t="s">
        <v>228</v>
      </c>
      <c r="B2" s="466" t="s">
        <v>85</v>
      </c>
      <c r="C2" s="466" t="s">
        <v>229</v>
      </c>
      <c r="D2" s="25" t="s">
        <v>123</v>
      </c>
      <c r="E2" s="25" t="s">
        <v>230</v>
      </c>
    </row>
    <row r="3" spans="1:5" ht="30.75" thickBot="1" x14ac:dyDescent="0.3">
      <c r="A3" s="550" t="s">
        <v>224</v>
      </c>
      <c r="B3" s="48" t="s">
        <v>235</v>
      </c>
      <c r="C3" s="47">
        <v>2</v>
      </c>
      <c r="D3" s="44">
        <v>35321</v>
      </c>
      <c r="E3" s="44">
        <f>D3*C3</f>
        <v>70642</v>
      </c>
    </row>
    <row r="4" spans="1:5" ht="15.75" thickBot="1" x14ac:dyDescent="0.3">
      <c r="A4" s="551"/>
      <c r="B4" s="32" t="s">
        <v>237</v>
      </c>
      <c r="C4" s="15">
        <v>2</v>
      </c>
      <c r="D4" s="44">
        <v>17579</v>
      </c>
      <c r="E4" s="44">
        <f t="shared" ref="E4:E48" si="0">D4*C4</f>
        <v>35158</v>
      </c>
    </row>
    <row r="5" spans="1:5" ht="15.75" thickBot="1" x14ac:dyDescent="0.3">
      <c r="A5" s="551"/>
      <c r="B5" s="32" t="s">
        <v>239</v>
      </c>
      <c r="C5" s="15">
        <v>2</v>
      </c>
      <c r="D5" s="44">
        <v>24779</v>
      </c>
      <c r="E5" s="44">
        <f t="shared" si="0"/>
        <v>49558</v>
      </c>
    </row>
    <row r="6" spans="1:5" ht="15.75" thickBot="1" x14ac:dyDescent="0.3">
      <c r="A6" s="551"/>
      <c r="B6" s="32" t="s">
        <v>241</v>
      </c>
      <c r="C6" s="15">
        <v>2</v>
      </c>
      <c r="D6" s="44">
        <v>22458</v>
      </c>
      <c r="E6" s="44">
        <f t="shared" si="0"/>
        <v>44916</v>
      </c>
    </row>
    <row r="7" spans="1:5" ht="30.75" thickBot="1" x14ac:dyDescent="0.3">
      <c r="A7" s="551"/>
      <c r="B7" s="32" t="s">
        <v>243</v>
      </c>
      <c r="C7" s="15">
        <v>2</v>
      </c>
      <c r="D7" s="44">
        <v>63048</v>
      </c>
      <c r="E7" s="44">
        <f t="shared" si="0"/>
        <v>126096</v>
      </c>
    </row>
    <row r="8" spans="1:5" ht="30.75" thickBot="1" x14ac:dyDescent="0.3">
      <c r="A8" s="551"/>
      <c r="B8" s="32" t="s">
        <v>245</v>
      </c>
      <c r="C8" s="15">
        <v>2</v>
      </c>
      <c r="D8" s="44">
        <v>81814</v>
      </c>
      <c r="E8" s="44">
        <f t="shared" si="0"/>
        <v>163628</v>
      </c>
    </row>
    <row r="9" spans="1:5" ht="15.75" thickBot="1" x14ac:dyDescent="0.3">
      <c r="A9" s="551"/>
      <c r="B9" s="32" t="s">
        <v>247</v>
      </c>
      <c r="C9" s="15">
        <v>16</v>
      </c>
      <c r="D9" s="44">
        <v>141</v>
      </c>
      <c r="E9" s="44">
        <f t="shared" si="0"/>
        <v>2256</v>
      </c>
    </row>
    <row r="10" spans="1:5" ht="15.75" thickBot="1" x14ac:dyDescent="0.3">
      <c r="A10" s="551"/>
      <c r="B10" s="32" t="s">
        <v>249</v>
      </c>
      <c r="C10" s="15">
        <v>16</v>
      </c>
      <c r="D10" s="44">
        <v>6243</v>
      </c>
      <c r="E10" s="44">
        <f t="shared" si="0"/>
        <v>99888</v>
      </c>
    </row>
    <row r="11" spans="1:5" ht="15.75" thickBot="1" x14ac:dyDescent="0.3">
      <c r="A11" s="551"/>
      <c r="B11" s="32" t="s">
        <v>251</v>
      </c>
      <c r="C11" s="15">
        <v>10</v>
      </c>
      <c r="D11" s="44">
        <v>6877</v>
      </c>
      <c r="E11" s="44">
        <f t="shared" si="0"/>
        <v>68770</v>
      </c>
    </row>
    <row r="12" spans="1:5" ht="15.75" thickBot="1" x14ac:dyDescent="0.3">
      <c r="A12" s="551"/>
      <c r="B12" s="32" t="s">
        <v>688</v>
      </c>
      <c r="C12" s="15">
        <v>10</v>
      </c>
      <c r="D12" s="44">
        <v>4929</v>
      </c>
      <c r="E12" s="44">
        <f t="shared" si="0"/>
        <v>49290</v>
      </c>
    </row>
    <row r="13" spans="1:5" ht="15.75" thickBot="1" x14ac:dyDescent="0.3">
      <c r="A13" s="551"/>
      <c r="B13" s="32" t="s">
        <v>689</v>
      </c>
      <c r="C13" s="15">
        <v>3</v>
      </c>
      <c r="D13" s="44">
        <v>3450</v>
      </c>
      <c r="E13" s="44">
        <f t="shared" si="0"/>
        <v>10350</v>
      </c>
    </row>
    <row r="14" spans="1:5" ht="15.75" thickBot="1" x14ac:dyDescent="0.3">
      <c r="A14" s="551"/>
      <c r="B14" s="32" t="s">
        <v>690</v>
      </c>
      <c r="C14" s="15">
        <v>2</v>
      </c>
      <c r="D14" s="44">
        <v>821</v>
      </c>
      <c r="E14" s="44">
        <f t="shared" si="0"/>
        <v>1642</v>
      </c>
    </row>
    <row r="15" spans="1:5" ht="15.75" thickBot="1" x14ac:dyDescent="0.3">
      <c r="A15" s="551"/>
      <c r="B15" s="32" t="s">
        <v>691</v>
      </c>
      <c r="C15" s="15">
        <v>3</v>
      </c>
      <c r="D15" s="44">
        <v>1314</v>
      </c>
      <c r="E15" s="44">
        <f t="shared" si="0"/>
        <v>3942</v>
      </c>
    </row>
    <row r="16" spans="1:5" ht="15.75" thickBot="1" x14ac:dyDescent="0.3">
      <c r="A16" s="551"/>
      <c r="B16" s="32" t="s">
        <v>253</v>
      </c>
      <c r="C16" s="15">
        <v>2</v>
      </c>
      <c r="D16" s="44">
        <v>27035</v>
      </c>
      <c r="E16" s="44">
        <f t="shared" si="0"/>
        <v>54070</v>
      </c>
    </row>
    <row r="17" spans="1:5" ht="15.75" thickBot="1" x14ac:dyDescent="0.3">
      <c r="A17" s="551"/>
      <c r="B17" s="32" t="s">
        <v>255</v>
      </c>
      <c r="C17" s="15">
        <v>4</v>
      </c>
      <c r="D17" s="44">
        <v>421</v>
      </c>
      <c r="E17" s="44">
        <f t="shared" si="0"/>
        <v>1684</v>
      </c>
    </row>
    <row r="18" spans="1:5" ht="15.75" thickBot="1" x14ac:dyDescent="0.3">
      <c r="A18" s="551"/>
      <c r="B18" s="32" t="s">
        <v>692</v>
      </c>
      <c r="C18" s="15">
        <v>1</v>
      </c>
      <c r="D18" s="44">
        <v>34500</v>
      </c>
      <c r="E18" s="44">
        <f t="shared" si="0"/>
        <v>34500</v>
      </c>
    </row>
    <row r="19" spans="1:5" ht="15.75" thickBot="1" x14ac:dyDescent="0.3">
      <c r="A19" s="551"/>
      <c r="B19" s="32" t="s">
        <v>258</v>
      </c>
      <c r="C19" s="15">
        <v>2</v>
      </c>
      <c r="D19" s="44">
        <v>27984</v>
      </c>
      <c r="E19" s="44">
        <f t="shared" si="0"/>
        <v>55968</v>
      </c>
    </row>
    <row r="20" spans="1:5" ht="15.75" thickBot="1" x14ac:dyDescent="0.3">
      <c r="A20" s="551"/>
      <c r="B20" s="32" t="s">
        <v>260</v>
      </c>
      <c r="C20" s="15">
        <v>14</v>
      </c>
      <c r="D20" s="44">
        <v>1655</v>
      </c>
      <c r="E20" s="44">
        <f t="shared" si="0"/>
        <v>23170</v>
      </c>
    </row>
    <row r="21" spans="1:5" ht="15.75" thickBot="1" x14ac:dyDescent="0.3">
      <c r="A21" s="551"/>
      <c r="B21" s="32" t="s">
        <v>262</v>
      </c>
      <c r="C21" s="15">
        <v>2</v>
      </c>
      <c r="D21" s="44">
        <v>11477</v>
      </c>
      <c r="E21" s="44">
        <f t="shared" si="0"/>
        <v>22954</v>
      </c>
    </row>
    <row r="22" spans="1:5" ht="15.75" thickBot="1" x14ac:dyDescent="0.3">
      <c r="A22" s="551"/>
      <c r="B22" s="32" t="s">
        <v>264</v>
      </c>
      <c r="C22" s="15">
        <v>1</v>
      </c>
      <c r="D22" s="44">
        <v>44356</v>
      </c>
      <c r="E22" s="44">
        <f t="shared" si="0"/>
        <v>44356</v>
      </c>
    </row>
    <row r="23" spans="1:5" ht="15.75" thickBot="1" x14ac:dyDescent="0.3">
      <c r="A23" s="551"/>
      <c r="B23" s="32" t="s">
        <v>266</v>
      </c>
      <c r="C23" s="15">
        <v>36</v>
      </c>
      <c r="D23" s="44">
        <v>107</v>
      </c>
      <c r="E23" s="44">
        <f t="shared" si="0"/>
        <v>3852</v>
      </c>
    </row>
    <row r="24" spans="1:5" ht="15.75" thickBot="1" x14ac:dyDescent="0.3">
      <c r="A24" s="551"/>
      <c r="B24" s="32" t="s">
        <v>268</v>
      </c>
      <c r="C24" s="15">
        <v>13</v>
      </c>
      <c r="D24" s="44">
        <v>1484</v>
      </c>
      <c r="E24" s="44">
        <f t="shared" si="0"/>
        <v>19292</v>
      </c>
    </row>
    <row r="25" spans="1:5" ht="15.75" thickBot="1" x14ac:dyDescent="0.3">
      <c r="A25" s="551"/>
      <c r="B25" s="32" t="s">
        <v>269</v>
      </c>
      <c r="C25" s="15">
        <v>2</v>
      </c>
      <c r="D25" s="44">
        <v>312143</v>
      </c>
      <c r="E25" s="44">
        <f t="shared" si="0"/>
        <v>624286</v>
      </c>
    </row>
    <row r="26" spans="1:5" ht="15.75" thickBot="1" x14ac:dyDescent="0.3">
      <c r="A26" s="551"/>
      <c r="B26" s="32" t="s">
        <v>693</v>
      </c>
      <c r="C26" s="15">
        <v>2</v>
      </c>
      <c r="D26" s="44">
        <v>17579</v>
      </c>
      <c r="E26" s="44">
        <f t="shared" si="0"/>
        <v>35158</v>
      </c>
    </row>
    <row r="27" spans="1:5" ht="15.75" thickBot="1" x14ac:dyDescent="0.3">
      <c r="A27" s="551"/>
      <c r="B27" s="32" t="s">
        <v>694</v>
      </c>
      <c r="C27" s="15">
        <v>1</v>
      </c>
      <c r="D27" s="44">
        <v>68138</v>
      </c>
      <c r="E27" s="44">
        <f t="shared" si="0"/>
        <v>68138</v>
      </c>
    </row>
    <row r="28" spans="1:5" ht="15.75" thickBot="1" x14ac:dyDescent="0.3">
      <c r="A28" s="551"/>
      <c r="B28" s="32" t="s">
        <v>695</v>
      </c>
      <c r="C28" s="15">
        <v>11</v>
      </c>
      <c r="D28" s="44">
        <v>47779</v>
      </c>
      <c r="E28" s="44">
        <f t="shared" si="0"/>
        <v>525569</v>
      </c>
    </row>
    <row r="29" spans="1:5" ht="15.75" thickBot="1" x14ac:dyDescent="0.3">
      <c r="A29" s="551"/>
      <c r="B29" s="32" t="s">
        <v>696</v>
      </c>
      <c r="C29" s="15">
        <v>4</v>
      </c>
      <c r="D29" s="44">
        <v>40845</v>
      </c>
      <c r="E29" s="44">
        <f t="shared" si="0"/>
        <v>163380</v>
      </c>
    </row>
    <row r="30" spans="1:5" ht="15.75" thickBot="1" x14ac:dyDescent="0.3">
      <c r="A30" s="551"/>
      <c r="B30" s="32" t="s">
        <v>697</v>
      </c>
      <c r="C30" s="15">
        <v>152</v>
      </c>
      <c r="D30" s="44">
        <v>16636</v>
      </c>
      <c r="E30" s="44">
        <f t="shared" si="0"/>
        <v>2528672</v>
      </c>
    </row>
    <row r="31" spans="1:5" ht="15.75" thickBot="1" x14ac:dyDescent="0.3">
      <c r="A31" s="551"/>
      <c r="B31" s="32" t="s">
        <v>698</v>
      </c>
      <c r="C31" s="15">
        <v>142</v>
      </c>
      <c r="D31" s="44">
        <v>1396</v>
      </c>
      <c r="E31" s="44">
        <f t="shared" si="0"/>
        <v>198232</v>
      </c>
    </row>
    <row r="32" spans="1:5" ht="15.75" thickBot="1" x14ac:dyDescent="0.3">
      <c r="A32" s="551"/>
      <c r="B32" s="32" t="s">
        <v>282</v>
      </c>
      <c r="C32" s="15">
        <v>10</v>
      </c>
      <c r="D32" s="44">
        <v>5231</v>
      </c>
      <c r="E32" s="44">
        <f t="shared" si="0"/>
        <v>52310</v>
      </c>
    </row>
    <row r="33" spans="1:5" ht="15.75" thickBot="1" x14ac:dyDescent="0.3">
      <c r="A33" s="551"/>
      <c r="B33" s="32" t="s">
        <v>284</v>
      </c>
      <c r="C33" s="15">
        <v>13</v>
      </c>
      <c r="D33" s="44">
        <v>3641</v>
      </c>
      <c r="E33" s="44">
        <f t="shared" si="0"/>
        <v>47333</v>
      </c>
    </row>
    <row r="34" spans="1:5" ht="15.75" thickBot="1" x14ac:dyDescent="0.3">
      <c r="A34" s="551"/>
      <c r="B34" s="32" t="s">
        <v>699</v>
      </c>
      <c r="C34" s="15">
        <v>1</v>
      </c>
      <c r="D34" s="44">
        <v>259243</v>
      </c>
      <c r="E34" s="44">
        <f t="shared" si="0"/>
        <v>259243</v>
      </c>
    </row>
    <row r="35" spans="1:5" ht="15.75" thickBot="1" x14ac:dyDescent="0.3">
      <c r="A35" s="551"/>
      <c r="B35" s="32" t="s">
        <v>287</v>
      </c>
      <c r="C35" s="15">
        <v>2</v>
      </c>
      <c r="D35" s="44">
        <v>123893</v>
      </c>
      <c r="E35" s="44">
        <f t="shared" si="0"/>
        <v>247786</v>
      </c>
    </row>
    <row r="36" spans="1:5" ht="15.75" thickBot="1" x14ac:dyDescent="0.3">
      <c r="A36" s="551"/>
      <c r="B36" s="32" t="s">
        <v>289</v>
      </c>
      <c r="C36" s="15">
        <v>10</v>
      </c>
      <c r="D36" s="44">
        <v>57181</v>
      </c>
      <c r="E36" s="44">
        <f t="shared" si="0"/>
        <v>571810</v>
      </c>
    </row>
    <row r="37" spans="1:5" ht="15.75" thickBot="1" x14ac:dyDescent="0.3">
      <c r="A37" s="551"/>
      <c r="B37" s="32" t="s">
        <v>700</v>
      </c>
      <c r="C37" s="15">
        <v>2</v>
      </c>
      <c r="D37" s="44">
        <v>37378</v>
      </c>
      <c r="E37" s="44">
        <f t="shared" si="0"/>
        <v>74756</v>
      </c>
    </row>
    <row r="38" spans="1:5" ht="15.75" thickBot="1" x14ac:dyDescent="0.3">
      <c r="A38" s="551"/>
      <c r="B38" s="32" t="s">
        <v>701</v>
      </c>
      <c r="C38" s="15">
        <v>2</v>
      </c>
      <c r="D38" s="44">
        <v>11171</v>
      </c>
      <c r="E38" s="44">
        <f t="shared" si="0"/>
        <v>22342</v>
      </c>
    </row>
    <row r="39" spans="1:5" ht="15.75" thickBot="1" x14ac:dyDescent="0.3">
      <c r="A39" s="551"/>
      <c r="B39" s="32" t="s">
        <v>292</v>
      </c>
      <c r="C39" s="15">
        <v>2</v>
      </c>
      <c r="D39" s="44">
        <v>29368</v>
      </c>
      <c r="E39" s="44">
        <f t="shared" si="0"/>
        <v>58736</v>
      </c>
    </row>
    <row r="40" spans="1:5" ht="15.75" thickBot="1" x14ac:dyDescent="0.3">
      <c r="A40" s="551"/>
      <c r="B40" s="32" t="s">
        <v>294</v>
      </c>
      <c r="C40" s="15">
        <v>1</v>
      </c>
      <c r="D40" s="44">
        <v>26082</v>
      </c>
      <c r="E40" s="44">
        <f t="shared" si="0"/>
        <v>26082</v>
      </c>
    </row>
    <row r="41" spans="1:5" ht="15.75" thickBot="1" x14ac:dyDescent="0.3">
      <c r="A41" s="551"/>
      <c r="B41" s="32" t="s">
        <v>296</v>
      </c>
      <c r="C41" s="15">
        <v>10</v>
      </c>
      <c r="D41" s="44">
        <v>44012</v>
      </c>
      <c r="E41" s="44">
        <f t="shared" si="0"/>
        <v>440120</v>
      </c>
    </row>
    <row r="42" spans="1:5" ht="15.75" thickBot="1" x14ac:dyDescent="0.3">
      <c r="A42" s="551"/>
      <c r="B42" s="32" t="s">
        <v>299</v>
      </c>
      <c r="C42" s="15">
        <v>2</v>
      </c>
      <c r="D42" s="44">
        <v>25629</v>
      </c>
      <c r="E42" s="44">
        <f t="shared" si="0"/>
        <v>51258</v>
      </c>
    </row>
    <row r="43" spans="1:5" ht="15.75" thickBot="1" x14ac:dyDescent="0.3">
      <c r="A43" s="551"/>
      <c r="B43" s="32" t="s">
        <v>702</v>
      </c>
      <c r="C43" s="15">
        <v>3</v>
      </c>
      <c r="D43" s="44">
        <v>15771</v>
      </c>
      <c r="E43" s="44">
        <f t="shared" si="0"/>
        <v>47313</v>
      </c>
    </row>
    <row r="44" spans="1:5" ht="15.75" thickBot="1" x14ac:dyDescent="0.3">
      <c r="A44" s="551"/>
      <c r="B44" s="32" t="s">
        <v>703</v>
      </c>
      <c r="C44" s="15">
        <v>3</v>
      </c>
      <c r="D44" s="44">
        <v>9834</v>
      </c>
      <c r="E44" s="44">
        <f t="shared" si="0"/>
        <v>29502</v>
      </c>
    </row>
    <row r="45" spans="1:5" ht="15.75" thickBot="1" x14ac:dyDescent="0.3">
      <c r="A45" s="551"/>
      <c r="B45" s="32" t="s">
        <v>301</v>
      </c>
      <c r="C45" s="15">
        <v>3</v>
      </c>
      <c r="D45" s="44">
        <v>2744</v>
      </c>
      <c r="E45" s="44">
        <f t="shared" si="0"/>
        <v>8232</v>
      </c>
    </row>
    <row r="46" spans="1:5" ht="15.75" thickBot="1" x14ac:dyDescent="0.3">
      <c r="A46" s="551"/>
      <c r="B46" s="32" t="s">
        <v>303</v>
      </c>
      <c r="C46" s="15">
        <v>2</v>
      </c>
      <c r="D46" s="44">
        <v>71054</v>
      </c>
      <c r="E46" s="44">
        <f t="shared" si="0"/>
        <v>142108</v>
      </c>
    </row>
    <row r="47" spans="1:5" ht="15.75" thickBot="1" x14ac:dyDescent="0.3">
      <c r="A47" s="551"/>
      <c r="B47" s="32" t="s">
        <v>305</v>
      </c>
      <c r="C47" s="15">
        <v>2</v>
      </c>
      <c r="D47" s="44">
        <v>80516</v>
      </c>
      <c r="E47" s="44">
        <f t="shared" si="0"/>
        <v>161032</v>
      </c>
    </row>
    <row r="48" spans="1:5" ht="15.75" thickBot="1" x14ac:dyDescent="0.3">
      <c r="A48" s="552"/>
      <c r="B48" s="57" t="s">
        <v>704</v>
      </c>
      <c r="C48" s="51">
        <v>1</v>
      </c>
      <c r="D48" s="44">
        <v>670956</v>
      </c>
      <c r="E48" s="44">
        <f t="shared" si="0"/>
        <v>670956</v>
      </c>
    </row>
    <row r="49" spans="1:5" thickBot="1" x14ac:dyDescent="0.35">
      <c r="A49" s="112"/>
      <c r="B49" s="112" t="s">
        <v>308</v>
      </c>
      <c r="C49" s="112"/>
      <c r="D49" s="201"/>
      <c r="E49" s="201">
        <f>SUM(E3:E48)</f>
        <v>8040336</v>
      </c>
    </row>
    <row r="52" spans="1:5" thickBot="1" x14ac:dyDescent="0.35"/>
    <row r="53" spans="1:5" ht="28.15" thickBot="1" x14ac:dyDescent="0.35">
      <c r="A53" s="466" t="s">
        <v>228</v>
      </c>
      <c r="B53" s="112" t="s">
        <v>85</v>
      </c>
      <c r="C53" s="466" t="s">
        <v>229</v>
      </c>
      <c r="D53" s="25" t="s">
        <v>123</v>
      </c>
      <c r="E53" s="25" t="s">
        <v>230</v>
      </c>
    </row>
    <row r="54" spans="1:5" ht="15.75" thickBot="1" x14ac:dyDescent="0.3">
      <c r="A54" s="553" t="s">
        <v>309</v>
      </c>
      <c r="B54" s="199" t="s">
        <v>705</v>
      </c>
      <c r="C54" s="47">
        <v>65</v>
      </c>
      <c r="D54" s="44">
        <v>3150</v>
      </c>
      <c r="E54" s="44">
        <f t="shared" ref="E54:E108" si="1">D54*C54</f>
        <v>204750</v>
      </c>
    </row>
    <row r="55" spans="1:5" ht="15.75" thickBot="1" x14ac:dyDescent="0.3">
      <c r="A55" s="554"/>
      <c r="B55" s="32" t="s">
        <v>706</v>
      </c>
      <c r="C55" s="15">
        <v>1100</v>
      </c>
      <c r="D55" s="44">
        <v>36.96</v>
      </c>
      <c r="E55" s="44">
        <f t="shared" si="1"/>
        <v>40656</v>
      </c>
    </row>
    <row r="56" spans="1:5" ht="30.75" thickBot="1" x14ac:dyDescent="0.3">
      <c r="A56" s="554"/>
      <c r="B56" s="32" t="s">
        <v>313</v>
      </c>
      <c r="C56" s="15">
        <v>42</v>
      </c>
      <c r="D56" s="44">
        <v>739</v>
      </c>
      <c r="E56" s="44">
        <f t="shared" si="1"/>
        <v>31038</v>
      </c>
    </row>
    <row r="57" spans="1:5" ht="15.75" thickBot="1" x14ac:dyDescent="0.3">
      <c r="A57" s="554"/>
      <c r="B57" s="32" t="s">
        <v>315</v>
      </c>
      <c r="C57" s="15">
        <v>84</v>
      </c>
      <c r="D57" s="44">
        <v>2300</v>
      </c>
      <c r="E57" s="44">
        <f t="shared" si="1"/>
        <v>193200</v>
      </c>
    </row>
    <row r="58" spans="1:5" ht="15.75" thickBot="1" x14ac:dyDescent="0.3">
      <c r="A58" s="554"/>
      <c r="B58" s="32" t="s">
        <v>93</v>
      </c>
      <c r="C58" s="15">
        <v>125</v>
      </c>
      <c r="D58" s="44">
        <v>1690</v>
      </c>
      <c r="E58" s="44">
        <f t="shared" si="1"/>
        <v>211250</v>
      </c>
    </row>
    <row r="59" spans="1:5" ht="15.75" thickBot="1" x14ac:dyDescent="0.3">
      <c r="A59" s="554"/>
      <c r="B59" s="32" t="s">
        <v>91</v>
      </c>
      <c r="C59" s="15">
        <v>140</v>
      </c>
      <c r="D59" s="44">
        <v>13300</v>
      </c>
      <c r="E59" s="44">
        <f t="shared" si="1"/>
        <v>1862000</v>
      </c>
    </row>
    <row r="60" spans="1:5" ht="15.75" thickBot="1" x14ac:dyDescent="0.3">
      <c r="A60" s="554"/>
      <c r="B60" s="32" t="s">
        <v>317</v>
      </c>
      <c r="C60" s="15">
        <v>42</v>
      </c>
      <c r="D60" s="44">
        <v>314</v>
      </c>
      <c r="E60" s="44">
        <f t="shared" si="1"/>
        <v>13188</v>
      </c>
    </row>
    <row r="61" spans="1:5" ht="15.75" thickBot="1" x14ac:dyDescent="0.3">
      <c r="A61" s="554"/>
      <c r="B61" s="32" t="s">
        <v>319</v>
      </c>
      <c r="C61" s="15">
        <v>70</v>
      </c>
      <c r="D61" s="44">
        <v>139.66999999999999</v>
      </c>
      <c r="E61" s="44">
        <f t="shared" si="1"/>
        <v>9776.9</v>
      </c>
    </row>
    <row r="62" spans="1:5" ht="15.75" thickBot="1" x14ac:dyDescent="0.3">
      <c r="A62" s="554"/>
      <c r="B62" s="32" t="s">
        <v>321</v>
      </c>
      <c r="C62" s="15">
        <v>165</v>
      </c>
      <c r="D62" s="44">
        <v>315</v>
      </c>
      <c r="E62" s="44">
        <f t="shared" si="1"/>
        <v>51975</v>
      </c>
    </row>
    <row r="63" spans="1:5" ht="15.75" thickBot="1" x14ac:dyDescent="0.3">
      <c r="A63" s="554"/>
      <c r="B63" s="32" t="s">
        <v>323</v>
      </c>
      <c r="C63" s="15">
        <v>6</v>
      </c>
      <c r="D63" s="44">
        <v>250</v>
      </c>
      <c r="E63" s="44">
        <f t="shared" si="1"/>
        <v>1500</v>
      </c>
    </row>
    <row r="64" spans="1:5" ht="15.75" thickBot="1" x14ac:dyDescent="0.3">
      <c r="A64" s="554"/>
      <c r="B64" s="32" t="s">
        <v>707</v>
      </c>
      <c r="C64" s="15">
        <v>21</v>
      </c>
      <c r="D64" s="44">
        <v>1495</v>
      </c>
      <c r="E64" s="44">
        <f t="shared" si="1"/>
        <v>31395</v>
      </c>
    </row>
    <row r="65" spans="1:5" ht="15.75" thickBot="1" x14ac:dyDescent="0.3">
      <c r="A65" s="554"/>
      <c r="B65" s="32" t="s">
        <v>708</v>
      </c>
      <c r="C65" s="15">
        <v>4</v>
      </c>
      <c r="D65" s="44">
        <v>18118</v>
      </c>
      <c r="E65" s="44">
        <f t="shared" si="1"/>
        <v>72472</v>
      </c>
    </row>
    <row r="66" spans="1:5" ht="15.75" thickBot="1" x14ac:dyDescent="0.3">
      <c r="A66" s="554"/>
      <c r="B66" s="32" t="s">
        <v>325</v>
      </c>
      <c r="C66" s="15">
        <v>4</v>
      </c>
      <c r="D66" s="44">
        <v>34</v>
      </c>
      <c r="E66" s="44">
        <f t="shared" si="1"/>
        <v>136</v>
      </c>
    </row>
    <row r="67" spans="1:5" ht="15.75" thickBot="1" x14ac:dyDescent="0.3">
      <c r="A67" s="554"/>
      <c r="B67" s="32" t="s">
        <v>327</v>
      </c>
      <c r="C67" s="15">
        <v>10</v>
      </c>
      <c r="D67" s="44">
        <v>2800</v>
      </c>
      <c r="E67" s="44">
        <f t="shared" si="1"/>
        <v>28000</v>
      </c>
    </row>
    <row r="68" spans="1:5" ht="15.75" thickBot="1" x14ac:dyDescent="0.3">
      <c r="A68" s="554"/>
      <c r="B68" s="32" t="s">
        <v>329</v>
      </c>
      <c r="C68" s="15">
        <v>20</v>
      </c>
      <c r="D68" s="44">
        <v>2500</v>
      </c>
      <c r="E68" s="44">
        <f t="shared" si="1"/>
        <v>50000</v>
      </c>
    </row>
    <row r="69" spans="1:5" ht="15.75" thickBot="1" x14ac:dyDescent="0.3">
      <c r="A69" s="554"/>
      <c r="B69" s="32" t="s">
        <v>331</v>
      </c>
      <c r="C69" s="15">
        <v>56</v>
      </c>
      <c r="D69" s="44">
        <v>712</v>
      </c>
      <c r="E69" s="44">
        <f t="shared" si="1"/>
        <v>39872</v>
      </c>
    </row>
    <row r="70" spans="1:5" ht="15.75" thickBot="1" x14ac:dyDescent="0.3">
      <c r="A70" s="554"/>
      <c r="B70" s="32" t="s">
        <v>89</v>
      </c>
      <c r="C70" s="15">
        <v>28</v>
      </c>
      <c r="D70" s="44">
        <v>52896</v>
      </c>
      <c r="E70" s="44">
        <f t="shared" si="1"/>
        <v>1481088</v>
      </c>
    </row>
    <row r="71" spans="1:5" ht="15.75" thickBot="1" x14ac:dyDescent="0.3">
      <c r="A71" s="554"/>
      <c r="B71" s="32" t="s">
        <v>334</v>
      </c>
      <c r="C71" s="15">
        <v>10</v>
      </c>
      <c r="D71" s="44">
        <v>2156</v>
      </c>
      <c r="E71" s="44">
        <f t="shared" si="1"/>
        <v>21560</v>
      </c>
    </row>
    <row r="72" spans="1:5" ht="15.75" thickBot="1" x14ac:dyDescent="0.3">
      <c r="A72" s="554"/>
      <c r="B72" s="32" t="s">
        <v>336</v>
      </c>
      <c r="C72" s="15">
        <v>26</v>
      </c>
      <c r="D72" s="44">
        <v>340.34</v>
      </c>
      <c r="E72" s="44">
        <f t="shared" si="1"/>
        <v>8848.84</v>
      </c>
    </row>
    <row r="73" spans="1:5" ht="15.75" thickBot="1" x14ac:dyDescent="0.3">
      <c r="A73" s="554"/>
      <c r="B73" s="32" t="s">
        <v>338</v>
      </c>
      <c r="C73" s="15">
        <v>56</v>
      </c>
      <c r="D73" s="44">
        <v>119.36</v>
      </c>
      <c r="E73" s="44">
        <f t="shared" si="1"/>
        <v>6684.16</v>
      </c>
    </row>
    <row r="74" spans="1:5" ht="15.75" thickBot="1" x14ac:dyDescent="0.3">
      <c r="A74" s="554"/>
      <c r="B74" s="32" t="s">
        <v>340</v>
      </c>
      <c r="C74" s="15">
        <v>8</v>
      </c>
      <c r="D74" s="44">
        <v>35.51</v>
      </c>
      <c r="E74" s="44">
        <f t="shared" si="1"/>
        <v>284.08</v>
      </c>
    </row>
    <row r="75" spans="1:5" ht="15.75" thickBot="1" x14ac:dyDescent="0.3">
      <c r="A75" s="554"/>
      <c r="B75" s="32" t="s">
        <v>342</v>
      </c>
      <c r="C75" s="15">
        <v>24</v>
      </c>
      <c r="D75" s="44">
        <v>313</v>
      </c>
      <c r="E75" s="44">
        <f t="shared" si="1"/>
        <v>7512</v>
      </c>
    </row>
    <row r="76" spans="1:5" ht="15.75" thickBot="1" x14ac:dyDescent="0.3">
      <c r="A76" s="554"/>
      <c r="B76" s="32" t="s">
        <v>344</v>
      </c>
      <c r="C76" s="15">
        <v>24</v>
      </c>
      <c r="D76" s="44">
        <v>198.21</v>
      </c>
      <c r="E76" s="44">
        <f t="shared" si="1"/>
        <v>4757.04</v>
      </c>
    </row>
    <row r="77" spans="1:5" ht="15.75" thickBot="1" x14ac:dyDescent="0.3">
      <c r="A77" s="554"/>
      <c r="B77" s="32" t="s">
        <v>346</v>
      </c>
      <c r="C77" s="20">
        <v>28</v>
      </c>
      <c r="D77" s="44">
        <v>660.47</v>
      </c>
      <c r="E77" s="44">
        <f t="shared" si="1"/>
        <v>18493.16</v>
      </c>
    </row>
    <row r="78" spans="1:5" ht="15.75" thickBot="1" x14ac:dyDescent="0.3">
      <c r="A78" s="554"/>
      <c r="B78" s="32" t="s">
        <v>348</v>
      </c>
      <c r="C78" s="20">
        <v>56</v>
      </c>
      <c r="D78" s="44">
        <v>27.57</v>
      </c>
      <c r="E78" s="44">
        <f t="shared" si="1"/>
        <v>1543.92</v>
      </c>
    </row>
    <row r="79" spans="1:5" ht="15.75" thickBot="1" x14ac:dyDescent="0.3">
      <c r="A79" s="554"/>
      <c r="B79" s="32" t="s">
        <v>350</v>
      </c>
      <c r="C79" s="20">
        <v>12</v>
      </c>
      <c r="D79" s="44">
        <f>99647/650</f>
        <v>153.30307692307693</v>
      </c>
      <c r="E79" s="44">
        <f t="shared" si="1"/>
        <v>1839.6369230769233</v>
      </c>
    </row>
    <row r="80" spans="1:5" ht="15.75" thickBot="1" x14ac:dyDescent="0.3">
      <c r="A80" s="554"/>
      <c r="B80" s="32" t="s">
        <v>352</v>
      </c>
      <c r="C80" s="20">
        <v>8</v>
      </c>
      <c r="D80" s="44">
        <f>99647/650</f>
        <v>153.30307692307693</v>
      </c>
      <c r="E80" s="44">
        <f t="shared" si="1"/>
        <v>1226.4246153846154</v>
      </c>
    </row>
    <row r="81" spans="1:5" ht="15.75" thickBot="1" x14ac:dyDescent="0.3">
      <c r="A81" s="554"/>
      <c r="B81" s="32" t="s">
        <v>354</v>
      </c>
      <c r="C81" s="20">
        <v>4</v>
      </c>
      <c r="D81" s="44">
        <v>3218</v>
      </c>
      <c r="E81" s="44">
        <f t="shared" si="1"/>
        <v>12872</v>
      </c>
    </row>
    <row r="82" spans="1:5" ht="15.75" thickBot="1" x14ac:dyDescent="0.3">
      <c r="A82" s="554"/>
      <c r="B82" s="32" t="s">
        <v>356</v>
      </c>
      <c r="C82" s="20">
        <v>56</v>
      </c>
      <c r="D82" s="44">
        <v>64.36</v>
      </c>
      <c r="E82" s="44">
        <f t="shared" si="1"/>
        <v>3604.16</v>
      </c>
    </row>
    <row r="83" spans="1:5" ht="15.75" thickBot="1" x14ac:dyDescent="0.3">
      <c r="A83" s="554"/>
      <c r="B83" s="32" t="s">
        <v>386</v>
      </c>
      <c r="C83" s="20">
        <v>56</v>
      </c>
      <c r="D83" s="44">
        <v>21.77</v>
      </c>
      <c r="E83" s="44">
        <f t="shared" si="1"/>
        <v>1219.1199999999999</v>
      </c>
    </row>
    <row r="84" spans="1:5" ht="15.75" thickBot="1" x14ac:dyDescent="0.3">
      <c r="A84" s="554"/>
      <c r="B84" s="32" t="s">
        <v>388</v>
      </c>
      <c r="C84" s="20">
        <v>56</v>
      </c>
      <c r="D84" s="44">
        <v>13.49</v>
      </c>
      <c r="E84" s="44">
        <f t="shared" si="1"/>
        <v>755.44</v>
      </c>
    </row>
    <row r="85" spans="1:5" ht="15.75" thickBot="1" x14ac:dyDescent="0.3">
      <c r="A85" s="554"/>
      <c r="B85" s="32" t="s">
        <v>358</v>
      </c>
      <c r="C85" s="20">
        <v>320</v>
      </c>
      <c r="D85" s="44">
        <f>99647/650</f>
        <v>153.30307692307693</v>
      </c>
      <c r="E85" s="44">
        <f t="shared" si="1"/>
        <v>49056.984615384616</v>
      </c>
    </row>
    <row r="86" spans="1:5" ht="15.75" thickBot="1" x14ac:dyDescent="0.3">
      <c r="A86" s="554"/>
      <c r="B86" s="32" t="s">
        <v>360</v>
      </c>
      <c r="C86" s="20">
        <v>56</v>
      </c>
      <c r="D86" s="44">
        <v>12.99</v>
      </c>
      <c r="E86" s="44">
        <f t="shared" si="1"/>
        <v>727.44</v>
      </c>
    </row>
    <row r="87" spans="1:5" ht="15.75" thickBot="1" x14ac:dyDescent="0.3">
      <c r="A87" s="554"/>
      <c r="B87" s="32" t="s">
        <v>362</v>
      </c>
      <c r="C87" s="20">
        <v>56</v>
      </c>
      <c r="D87" s="44">
        <v>10.47</v>
      </c>
      <c r="E87" s="44">
        <f t="shared" si="1"/>
        <v>586.32000000000005</v>
      </c>
    </row>
    <row r="88" spans="1:5" ht="15.75" thickBot="1" x14ac:dyDescent="0.3">
      <c r="A88" s="554"/>
      <c r="B88" s="32" t="s">
        <v>364</v>
      </c>
      <c r="C88" s="20">
        <v>56</v>
      </c>
      <c r="D88" s="44">
        <v>15.6</v>
      </c>
      <c r="E88" s="44">
        <f t="shared" si="1"/>
        <v>873.6</v>
      </c>
    </row>
    <row r="89" spans="1:5" ht="15.75" thickBot="1" x14ac:dyDescent="0.3">
      <c r="A89" s="554"/>
      <c r="B89" s="32" t="s">
        <v>366</v>
      </c>
      <c r="C89" s="20">
        <v>28</v>
      </c>
      <c r="D89" s="44">
        <v>89.6</v>
      </c>
      <c r="E89" s="44">
        <f t="shared" si="1"/>
        <v>2508.7999999999997</v>
      </c>
    </row>
    <row r="90" spans="1:5" ht="15.75" thickBot="1" x14ac:dyDescent="0.3">
      <c r="A90" s="554"/>
      <c r="B90" s="32" t="s">
        <v>368</v>
      </c>
      <c r="C90" s="20">
        <v>12</v>
      </c>
      <c r="D90" s="44">
        <v>353</v>
      </c>
      <c r="E90" s="44">
        <f t="shared" si="1"/>
        <v>4236</v>
      </c>
    </row>
    <row r="91" spans="1:5" ht="15.75" thickBot="1" x14ac:dyDescent="0.3">
      <c r="A91" s="554"/>
      <c r="B91" s="32" t="s">
        <v>370</v>
      </c>
      <c r="C91" s="20">
        <v>28</v>
      </c>
      <c r="D91" s="44">
        <v>126.72</v>
      </c>
      <c r="E91" s="44">
        <f t="shared" si="1"/>
        <v>3548.16</v>
      </c>
    </row>
    <row r="92" spans="1:5" ht="15.75" thickBot="1" x14ac:dyDescent="0.3">
      <c r="A92" s="554"/>
      <c r="B92" s="32" t="s">
        <v>372</v>
      </c>
      <c r="C92" s="15">
        <v>28</v>
      </c>
      <c r="D92" s="44">
        <v>288</v>
      </c>
      <c r="E92" s="44">
        <f t="shared" si="1"/>
        <v>8064</v>
      </c>
    </row>
    <row r="93" spans="1:5" ht="15.75" thickBot="1" x14ac:dyDescent="0.3">
      <c r="A93" s="554"/>
      <c r="B93" s="32" t="s">
        <v>374</v>
      </c>
      <c r="C93" s="15">
        <v>28</v>
      </c>
      <c r="D93" s="44">
        <v>14</v>
      </c>
      <c r="E93" s="44">
        <f t="shared" si="1"/>
        <v>392</v>
      </c>
    </row>
    <row r="94" spans="1:5" ht="15.75" thickBot="1" x14ac:dyDescent="0.3">
      <c r="A94" s="554"/>
      <c r="B94" s="32" t="s">
        <v>376</v>
      </c>
      <c r="C94" s="15">
        <v>28</v>
      </c>
      <c r="D94" s="44">
        <v>23.93</v>
      </c>
      <c r="E94" s="44">
        <f t="shared" si="1"/>
        <v>670.04</v>
      </c>
    </row>
    <row r="95" spans="1:5" ht="15.75" thickBot="1" x14ac:dyDescent="0.3">
      <c r="A95" s="554"/>
      <c r="B95" s="32" t="s">
        <v>378</v>
      </c>
      <c r="C95" s="15">
        <v>28</v>
      </c>
      <c r="D95" s="44">
        <v>72.760000000000005</v>
      </c>
      <c r="E95" s="44">
        <f t="shared" si="1"/>
        <v>2037.2800000000002</v>
      </c>
    </row>
    <row r="96" spans="1:5" ht="15.75" thickBot="1" x14ac:dyDescent="0.3">
      <c r="A96" s="554"/>
      <c r="B96" s="32" t="s">
        <v>380</v>
      </c>
      <c r="C96" s="15">
        <v>28</v>
      </c>
      <c r="D96" s="44">
        <v>71.319999999999993</v>
      </c>
      <c r="E96" s="44">
        <f t="shared" si="1"/>
        <v>1996.9599999999998</v>
      </c>
    </row>
    <row r="97" spans="1:5" ht="15.75" thickBot="1" x14ac:dyDescent="0.3">
      <c r="A97" s="554"/>
      <c r="B97" s="32" t="s">
        <v>382</v>
      </c>
      <c r="C97" s="15">
        <v>20</v>
      </c>
      <c r="D97" s="44">
        <v>162</v>
      </c>
      <c r="E97" s="44">
        <f t="shared" si="1"/>
        <v>3240</v>
      </c>
    </row>
    <row r="98" spans="1:5" ht="15.75" thickBot="1" x14ac:dyDescent="0.3">
      <c r="A98" s="554"/>
      <c r="B98" s="32" t="s">
        <v>384</v>
      </c>
      <c r="C98" s="15">
        <v>28</v>
      </c>
      <c r="D98" s="44">
        <v>94</v>
      </c>
      <c r="E98" s="44">
        <f t="shared" si="1"/>
        <v>2632</v>
      </c>
    </row>
    <row r="99" spans="1:5" ht="15.75" thickBot="1" x14ac:dyDescent="0.3">
      <c r="A99" s="554"/>
      <c r="B99" s="32" t="s">
        <v>386</v>
      </c>
      <c r="C99" s="15">
        <v>112</v>
      </c>
      <c r="D99" s="44">
        <v>9</v>
      </c>
      <c r="E99" s="44">
        <f t="shared" si="1"/>
        <v>1008</v>
      </c>
    </row>
    <row r="100" spans="1:5" ht="15.75" thickBot="1" x14ac:dyDescent="0.3">
      <c r="A100" s="554"/>
      <c r="B100" s="32" t="s">
        <v>388</v>
      </c>
      <c r="C100" s="15">
        <v>85</v>
      </c>
      <c r="D100" s="44">
        <v>13.49</v>
      </c>
      <c r="E100" s="44">
        <f t="shared" si="1"/>
        <v>1146.6500000000001</v>
      </c>
    </row>
    <row r="101" spans="1:5" ht="15.75" thickBot="1" x14ac:dyDescent="0.3">
      <c r="A101" s="554"/>
      <c r="B101" s="32" t="s">
        <v>390</v>
      </c>
      <c r="C101" s="20">
        <v>20</v>
      </c>
      <c r="D101" s="44">
        <v>60.12</v>
      </c>
      <c r="E101" s="44">
        <f t="shared" si="1"/>
        <v>1202.3999999999999</v>
      </c>
    </row>
    <row r="102" spans="1:5" ht="15.75" thickBot="1" x14ac:dyDescent="0.3">
      <c r="A102" s="554"/>
      <c r="B102" s="32" t="s">
        <v>392</v>
      </c>
      <c r="C102" s="20">
        <v>20</v>
      </c>
      <c r="D102" s="44">
        <v>43.2</v>
      </c>
      <c r="E102" s="44">
        <f t="shared" si="1"/>
        <v>864</v>
      </c>
    </row>
    <row r="103" spans="1:5" ht="15.75" thickBot="1" x14ac:dyDescent="0.3">
      <c r="A103" s="554"/>
      <c r="B103" s="32" t="s">
        <v>394</v>
      </c>
      <c r="C103" s="20">
        <v>200</v>
      </c>
      <c r="D103" s="44">
        <v>96</v>
      </c>
      <c r="E103" s="44">
        <f t="shared" si="1"/>
        <v>19200</v>
      </c>
    </row>
    <row r="104" spans="1:5" ht="15.75" thickBot="1" x14ac:dyDescent="0.3">
      <c r="A104" s="554"/>
      <c r="B104" s="32" t="s">
        <v>396</v>
      </c>
      <c r="C104" s="20">
        <v>510</v>
      </c>
      <c r="D104" s="44">
        <v>183.74</v>
      </c>
      <c r="E104" s="44">
        <f t="shared" si="1"/>
        <v>93707.400000000009</v>
      </c>
    </row>
    <row r="105" spans="1:5" ht="15.75" thickBot="1" x14ac:dyDescent="0.3">
      <c r="A105" s="554"/>
      <c r="B105" s="32" t="s">
        <v>398</v>
      </c>
      <c r="C105" s="20">
        <v>18</v>
      </c>
      <c r="D105" s="44">
        <v>220.08</v>
      </c>
      <c r="E105" s="44">
        <f t="shared" si="1"/>
        <v>3961.44</v>
      </c>
    </row>
    <row r="106" spans="1:5" ht="15.75" thickBot="1" x14ac:dyDescent="0.3">
      <c r="A106" s="554"/>
      <c r="B106" s="32" t="s">
        <v>400</v>
      </c>
      <c r="C106" s="20">
        <v>12</v>
      </c>
      <c r="D106" s="44">
        <v>304.33</v>
      </c>
      <c r="E106" s="44">
        <f t="shared" si="1"/>
        <v>3651.96</v>
      </c>
    </row>
    <row r="107" spans="1:5" ht="15.75" thickBot="1" x14ac:dyDescent="0.3">
      <c r="A107" s="554"/>
      <c r="B107" s="32" t="s">
        <v>402</v>
      </c>
      <c r="C107" s="20">
        <v>28</v>
      </c>
      <c r="D107" s="44">
        <v>55.78</v>
      </c>
      <c r="E107" s="44">
        <f t="shared" si="1"/>
        <v>1561.8400000000001</v>
      </c>
    </row>
    <row r="108" spans="1:5" ht="15.75" thickBot="1" x14ac:dyDescent="0.3">
      <c r="A108" s="554"/>
      <c r="B108" s="57" t="s">
        <v>404</v>
      </c>
      <c r="C108" s="20">
        <v>28</v>
      </c>
      <c r="D108" s="44">
        <v>48.74</v>
      </c>
      <c r="E108" s="44">
        <f t="shared" si="1"/>
        <v>1364.72</v>
      </c>
    </row>
    <row r="109" spans="1:5" ht="17.25" thickBot="1" x14ac:dyDescent="0.3">
      <c r="A109" s="112"/>
      <c r="B109" s="112" t="s">
        <v>709</v>
      </c>
      <c r="C109" s="112"/>
      <c r="D109" s="201"/>
      <c r="E109" s="201">
        <f>SUM(E54:E108)</f>
        <v>4621734.8761538491</v>
      </c>
    </row>
    <row r="110" spans="1:5" ht="33.75" thickBot="1" x14ac:dyDescent="0.3">
      <c r="A110" s="466" t="s">
        <v>228</v>
      </c>
      <c r="B110" s="466" t="s">
        <v>85</v>
      </c>
      <c r="C110" s="466" t="s">
        <v>229</v>
      </c>
      <c r="D110" s="25" t="s">
        <v>123</v>
      </c>
      <c r="E110" s="25" t="s">
        <v>230</v>
      </c>
    </row>
    <row r="111" spans="1:5" ht="15.75" thickBot="1" x14ac:dyDescent="0.3">
      <c r="A111" s="553" t="s">
        <v>309</v>
      </c>
      <c r="B111" s="48" t="s">
        <v>406</v>
      </c>
      <c r="C111" s="15">
        <v>28</v>
      </c>
      <c r="D111" s="44">
        <v>243.21</v>
      </c>
      <c r="E111" s="44">
        <f t="shared" ref="E111:E152" si="2">D111*C111</f>
        <v>6809.88</v>
      </c>
    </row>
    <row r="112" spans="1:5" ht="15.75" thickBot="1" x14ac:dyDescent="0.3">
      <c r="A112" s="554"/>
      <c r="B112" s="32" t="s">
        <v>722</v>
      </c>
      <c r="C112" s="20">
        <v>28</v>
      </c>
      <c r="D112" s="44">
        <v>183.74</v>
      </c>
      <c r="E112" s="44">
        <f t="shared" si="2"/>
        <v>5144.72</v>
      </c>
    </row>
    <row r="113" spans="1:5" ht="15.75" thickBot="1" x14ac:dyDescent="0.3">
      <c r="A113" s="554"/>
      <c r="B113" s="32" t="s">
        <v>409</v>
      </c>
      <c r="C113" s="20">
        <v>28</v>
      </c>
      <c r="D113" s="44">
        <v>144.34</v>
      </c>
      <c r="E113" s="44">
        <f t="shared" si="2"/>
        <v>4041.52</v>
      </c>
    </row>
    <row r="114" spans="1:5" ht="15.75" thickBot="1" x14ac:dyDescent="0.3">
      <c r="A114" s="554"/>
      <c r="B114" s="32" t="s">
        <v>411</v>
      </c>
      <c r="C114" s="20">
        <v>4</v>
      </c>
      <c r="D114" s="44">
        <v>3218</v>
      </c>
      <c r="E114" s="44">
        <f t="shared" si="2"/>
        <v>12872</v>
      </c>
    </row>
    <row r="115" spans="1:5" ht="15.75" thickBot="1" x14ac:dyDescent="0.3">
      <c r="A115" s="554"/>
      <c r="B115" s="32" t="s">
        <v>413</v>
      </c>
      <c r="C115" s="20">
        <v>28</v>
      </c>
      <c r="D115" s="44">
        <v>608.75</v>
      </c>
      <c r="E115" s="44">
        <f t="shared" si="2"/>
        <v>17045</v>
      </c>
    </row>
    <row r="116" spans="1:5" ht="15.75" thickBot="1" x14ac:dyDescent="0.3">
      <c r="A116" s="554"/>
      <c r="B116" s="32" t="s">
        <v>415</v>
      </c>
      <c r="C116" s="20">
        <v>28</v>
      </c>
      <c r="D116" s="44">
        <v>954.84</v>
      </c>
      <c r="E116" s="44">
        <f t="shared" si="2"/>
        <v>26735.52</v>
      </c>
    </row>
    <row r="117" spans="1:5" ht="15.75" thickBot="1" x14ac:dyDescent="0.3">
      <c r="A117" s="554"/>
      <c r="B117" s="32" t="s">
        <v>417</v>
      </c>
      <c r="C117" s="20">
        <v>28</v>
      </c>
      <c r="D117" s="44">
        <v>789.12</v>
      </c>
      <c r="E117" s="44">
        <f t="shared" si="2"/>
        <v>22095.360000000001</v>
      </c>
    </row>
    <row r="118" spans="1:5" ht="15.75" thickBot="1" x14ac:dyDescent="0.3">
      <c r="A118" s="554"/>
      <c r="B118" s="32" t="s">
        <v>419</v>
      </c>
      <c r="C118" s="15">
        <v>28</v>
      </c>
      <c r="D118" s="44">
        <v>77.3</v>
      </c>
      <c r="E118" s="44">
        <f t="shared" si="2"/>
        <v>2164.4</v>
      </c>
    </row>
    <row r="119" spans="1:5" ht="15.75" thickBot="1" x14ac:dyDescent="0.3">
      <c r="A119" s="554"/>
      <c r="B119" s="32" t="s">
        <v>421</v>
      </c>
      <c r="C119" s="15">
        <v>28</v>
      </c>
      <c r="D119" s="44">
        <v>192.94</v>
      </c>
      <c r="E119" s="44">
        <f t="shared" si="2"/>
        <v>5402.32</v>
      </c>
    </row>
    <row r="120" spans="1:5" ht="15.75" thickBot="1" x14ac:dyDescent="0.3">
      <c r="A120" s="554"/>
      <c r="B120" s="32" t="s">
        <v>423</v>
      </c>
      <c r="C120" s="15">
        <v>28</v>
      </c>
      <c r="D120" s="44">
        <v>550</v>
      </c>
      <c r="E120" s="44">
        <f t="shared" si="2"/>
        <v>15400</v>
      </c>
    </row>
    <row r="121" spans="1:5" ht="15.75" thickBot="1" x14ac:dyDescent="0.3">
      <c r="A121" s="554"/>
      <c r="B121" s="32" t="s">
        <v>75</v>
      </c>
      <c r="C121" s="15">
        <v>4</v>
      </c>
      <c r="D121" s="44">
        <v>15700</v>
      </c>
      <c r="E121" s="44">
        <f t="shared" si="2"/>
        <v>62800</v>
      </c>
    </row>
    <row r="122" spans="1:5" ht="15.75" thickBot="1" x14ac:dyDescent="0.3">
      <c r="A122" s="554"/>
      <c r="B122" s="32" t="s">
        <v>73</v>
      </c>
      <c r="C122" s="15">
        <v>4</v>
      </c>
      <c r="D122" s="44">
        <v>45800</v>
      </c>
      <c r="E122" s="44">
        <f t="shared" si="2"/>
        <v>183200</v>
      </c>
    </row>
    <row r="123" spans="1:5" ht="15.75" thickBot="1" x14ac:dyDescent="0.3">
      <c r="A123" s="554"/>
      <c r="B123" s="32" t="s">
        <v>71</v>
      </c>
      <c r="C123" s="15">
        <v>28</v>
      </c>
      <c r="D123" s="44">
        <v>4090</v>
      </c>
      <c r="E123" s="44">
        <f t="shared" si="2"/>
        <v>114520</v>
      </c>
    </row>
    <row r="124" spans="1:5" ht="15.75" thickBot="1" x14ac:dyDescent="0.3">
      <c r="A124" s="554"/>
      <c r="B124" s="32" t="s">
        <v>426</v>
      </c>
      <c r="C124" s="15">
        <v>28</v>
      </c>
      <c r="D124" s="44">
        <v>3650</v>
      </c>
      <c r="E124" s="44">
        <f t="shared" si="2"/>
        <v>102200</v>
      </c>
    </row>
    <row r="125" spans="1:5" ht="30.75" thickBot="1" x14ac:dyDescent="0.3">
      <c r="A125" s="554"/>
      <c r="B125" s="32" t="s">
        <v>428</v>
      </c>
      <c r="C125" s="15">
        <v>8</v>
      </c>
      <c r="D125" s="44">
        <v>5100</v>
      </c>
      <c r="E125" s="44">
        <f t="shared" si="2"/>
        <v>40800</v>
      </c>
    </row>
    <row r="126" spans="1:5" x14ac:dyDescent="0.25">
      <c r="A126" s="554"/>
      <c r="B126" s="32" t="s">
        <v>430</v>
      </c>
      <c r="C126" s="15">
        <v>84</v>
      </c>
      <c r="D126" s="547">
        <v>20800</v>
      </c>
      <c r="E126" s="547">
        <f t="shared" si="2"/>
        <v>1747200</v>
      </c>
    </row>
    <row r="127" spans="1:5" x14ac:dyDescent="0.25">
      <c r="A127" s="554"/>
      <c r="B127" s="32" t="s">
        <v>432</v>
      </c>
      <c r="C127" s="15">
        <v>84</v>
      </c>
      <c r="D127" s="548"/>
      <c r="E127" s="548"/>
    </row>
    <row r="128" spans="1:5" ht="15.75" thickBot="1" x14ac:dyDescent="0.3">
      <c r="A128" s="554"/>
      <c r="B128" s="32" t="s">
        <v>434</v>
      </c>
      <c r="C128" s="15">
        <v>88</v>
      </c>
      <c r="D128" s="549"/>
      <c r="E128" s="549"/>
    </row>
    <row r="129" spans="1:5" ht="15.75" thickBot="1" x14ac:dyDescent="0.3">
      <c r="A129" s="554"/>
      <c r="B129" s="32" t="s">
        <v>436</v>
      </c>
      <c r="C129" s="15">
        <v>91</v>
      </c>
      <c r="D129" s="44">
        <v>30</v>
      </c>
      <c r="E129" s="44">
        <f t="shared" si="2"/>
        <v>2730</v>
      </c>
    </row>
    <row r="130" spans="1:5" ht="15.75" thickBot="1" x14ac:dyDescent="0.3">
      <c r="A130" s="554"/>
      <c r="B130" s="32" t="s">
        <v>438</v>
      </c>
      <c r="C130" s="15">
        <v>98</v>
      </c>
      <c r="D130" s="44">
        <v>2150</v>
      </c>
      <c r="E130" s="44">
        <f t="shared" si="2"/>
        <v>210700</v>
      </c>
    </row>
    <row r="131" spans="1:5" ht="15.75" thickBot="1" x14ac:dyDescent="0.3">
      <c r="A131" s="554"/>
      <c r="B131" s="32" t="s">
        <v>440</v>
      </c>
      <c r="C131" s="15">
        <v>96</v>
      </c>
      <c r="D131" s="44">
        <v>70.209999999999994</v>
      </c>
      <c r="E131" s="44">
        <f t="shared" si="2"/>
        <v>6740.16</v>
      </c>
    </row>
    <row r="132" spans="1:5" ht="15.75" thickBot="1" x14ac:dyDescent="0.3">
      <c r="A132" s="554"/>
      <c r="B132" s="32" t="s">
        <v>442</v>
      </c>
      <c r="C132" s="15">
        <v>84</v>
      </c>
      <c r="D132" s="44">
        <v>3700</v>
      </c>
      <c r="E132" s="44">
        <f t="shared" si="2"/>
        <v>310800</v>
      </c>
    </row>
    <row r="133" spans="1:5" ht="15.75" thickBot="1" x14ac:dyDescent="0.3">
      <c r="A133" s="554"/>
      <c r="B133" s="32" t="s">
        <v>444</v>
      </c>
      <c r="C133" s="15">
        <v>126</v>
      </c>
      <c r="D133" s="44">
        <v>568</v>
      </c>
      <c r="E133" s="44">
        <f t="shared" si="2"/>
        <v>71568</v>
      </c>
    </row>
    <row r="134" spans="1:5" ht="15.75" thickBot="1" x14ac:dyDescent="0.3">
      <c r="A134" s="554"/>
      <c r="B134" s="32" t="s">
        <v>710</v>
      </c>
      <c r="C134" s="15">
        <v>81</v>
      </c>
      <c r="D134" s="44">
        <v>103</v>
      </c>
      <c r="E134" s="44">
        <f t="shared" si="2"/>
        <v>8343</v>
      </c>
    </row>
    <row r="135" spans="1:5" ht="15.75" thickBot="1" x14ac:dyDescent="0.3">
      <c r="A135" s="554"/>
      <c r="B135" s="32" t="s">
        <v>446</v>
      </c>
      <c r="C135" s="15">
        <v>9</v>
      </c>
      <c r="D135" s="44">
        <v>200</v>
      </c>
      <c r="E135" s="44">
        <f t="shared" si="2"/>
        <v>1800</v>
      </c>
    </row>
    <row r="136" spans="1:5" ht="15.75" thickBot="1" x14ac:dyDescent="0.3">
      <c r="A136" s="554"/>
      <c r="B136" s="32" t="s">
        <v>448</v>
      </c>
      <c r="C136" s="15">
        <v>9</v>
      </c>
      <c r="D136" s="44">
        <v>485</v>
      </c>
      <c r="E136" s="44">
        <f t="shared" si="2"/>
        <v>4365</v>
      </c>
    </row>
    <row r="137" spans="1:5" ht="15.75" thickBot="1" x14ac:dyDescent="0.3">
      <c r="A137" s="554"/>
      <c r="B137" s="32" t="s">
        <v>68</v>
      </c>
      <c r="C137" s="15">
        <v>83</v>
      </c>
      <c r="D137" s="44">
        <v>3800</v>
      </c>
      <c r="E137" s="44">
        <f t="shared" si="2"/>
        <v>315400</v>
      </c>
    </row>
    <row r="138" spans="1:5" ht="15.75" thickBot="1" x14ac:dyDescent="0.3">
      <c r="A138" s="554"/>
      <c r="B138" s="32" t="s">
        <v>450</v>
      </c>
      <c r="C138" s="15">
        <v>7</v>
      </c>
      <c r="D138" s="44">
        <v>1246</v>
      </c>
      <c r="E138" s="44">
        <f t="shared" si="2"/>
        <v>8722</v>
      </c>
    </row>
    <row r="139" spans="1:5" ht="15.75" thickBot="1" x14ac:dyDescent="0.3">
      <c r="A139" s="554"/>
      <c r="B139" s="32" t="s">
        <v>452</v>
      </c>
      <c r="C139" s="15">
        <v>126</v>
      </c>
      <c r="D139" s="44">
        <v>65</v>
      </c>
      <c r="E139" s="44">
        <f t="shared" si="2"/>
        <v>8190</v>
      </c>
    </row>
    <row r="140" spans="1:5" ht="15.75" thickBot="1" x14ac:dyDescent="0.3">
      <c r="A140" s="554"/>
      <c r="B140" s="32" t="s">
        <v>455</v>
      </c>
      <c r="C140" s="15">
        <v>9</v>
      </c>
      <c r="D140" s="44">
        <v>46</v>
      </c>
      <c r="E140" s="44">
        <f t="shared" si="2"/>
        <v>414</v>
      </c>
    </row>
    <row r="141" spans="1:5" ht="15.75" thickBot="1" x14ac:dyDescent="0.3">
      <c r="A141" s="554"/>
      <c r="B141" s="32" t="s">
        <v>457</v>
      </c>
      <c r="C141" s="15">
        <v>68</v>
      </c>
      <c r="D141" s="44">
        <f>(7098+267)*1.15</f>
        <v>8469.75</v>
      </c>
      <c r="E141" s="44">
        <f t="shared" si="2"/>
        <v>575943</v>
      </c>
    </row>
    <row r="142" spans="1:5" ht="15.75" thickBot="1" x14ac:dyDescent="0.3">
      <c r="A142" s="554"/>
      <c r="B142" s="32" t="s">
        <v>459</v>
      </c>
      <c r="C142" s="15">
        <v>5</v>
      </c>
      <c r="D142" s="44">
        <v>2770</v>
      </c>
      <c r="E142" s="44">
        <f t="shared" si="2"/>
        <v>13850</v>
      </c>
    </row>
    <row r="143" spans="1:5" ht="15.75" thickBot="1" x14ac:dyDescent="0.3">
      <c r="A143" s="554"/>
      <c r="B143" s="32" t="s">
        <v>461</v>
      </c>
      <c r="C143" s="15">
        <v>18</v>
      </c>
      <c r="D143" s="44">
        <v>295</v>
      </c>
      <c r="E143" s="44">
        <f t="shared" si="2"/>
        <v>5310</v>
      </c>
    </row>
    <row r="144" spans="1:5" ht="15.75" thickBot="1" x14ac:dyDescent="0.3">
      <c r="A144" s="554"/>
      <c r="B144" s="32" t="s">
        <v>463</v>
      </c>
      <c r="C144" s="15">
        <v>10</v>
      </c>
      <c r="D144" s="44">
        <v>3800</v>
      </c>
      <c r="E144" s="44">
        <f t="shared" si="2"/>
        <v>38000</v>
      </c>
    </row>
    <row r="145" spans="1:5" ht="15.75" thickBot="1" x14ac:dyDescent="0.3">
      <c r="A145" s="554"/>
      <c r="B145" s="32" t="s">
        <v>465</v>
      </c>
      <c r="C145" s="15">
        <v>13</v>
      </c>
      <c r="D145" s="44">
        <v>1100</v>
      </c>
      <c r="E145" s="44">
        <f t="shared" si="2"/>
        <v>14300</v>
      </c>
    </row>
    <row r="146" spans="1:5" ht="15.75" thickBot="1" x14ac:dyDescent="0.3">
      <c r="A146" s="554"/>
      <c r="B146" s="32" t="s">
        <v>467</v>
      </c>
      <c r="C146" s="15">
        <v>13</v>
      </c>
      <c r="D146" s="44">
        <v>1600</v>
      </c>
      <c r="E146" s="44">
        <f t="shared" si="2"/>
        <v>20800</v>
      </c>
    </row>
    <row r="147" spans="1:5" ht="15.75" thickBot="1" x14ac:dyDescent="0.3">
      <c r="A147" s="554"/>
      <c r="B147" s="32" t="s">
        <v>469</v>
      </c>
      <c r="C147" s="15">
        <v>50</v>
      </c>
      <c r="D147" s="44">
        <v>3</v>
      </c>
      <c r="E147" s="44">
        <f t="shared" si="2"/>
        <v>150</v>
      </c>
    </row>
    <row r="148" spans="1:5" ht="15.75" thickBot="1" x14ac:dyDescent="0.3">
      <c r="A148" s="554"/>
      <c r="B148" s="32" t="s">
        <v>471</v>
      </c>
      <c r="C148" s="15">
        <v>4</v>
      </c>
      <c r="D148" s="44">
        <v>2450</v>
      </c>
      <c r="E148" s="44">
        <f t="shared" si="2"/>
        <v>9800</v>
      </c>
    </row>
    <row r="149" spans="1:5" ht="15.75" thickBot="1" x14ac:dyDescent="0.3">
      <c r="A149" s="554"/>
      <c r="B149" s="32" t="s">
        <v>64</v>
      </c>
      <c r="C149" s="15">
        <v>4</v>
      </c>
      <c r="D149" s="44">
        <v>3250</v>
      </c>
      <c r="E149" s="44">
        <f t="shared" si="2"/>
        <v>13000</v>
      </c>
    </row>
    <row r="150" spans="1:5" ht="15.75" thickBot="1" x14ac:dyDescent="0.3">
      <c r="A150" s="554"/>
      <c r="B150" s="32" t="s">
        <v>711</v>
      </c>
      <c r="C150" s="15">
        <v>1</v>
      </c>
      <c r="D150" s="44">
        <v>1923.07</v>
      </c>
      <c r="E150" s="44">
        <f t="shared" si="2"/>
        <v>1923.07</v>
      </c>
    </row>
    <row r="151" spans="1:5" ht="15.75" thickBot="1" x14ac:dyDescent="0.3">
      <c r="A151" s="554"/>
      <c r="B151" s="32" t="s">
        <v>712</v>
      </c>
      <c r="C151" s="15">
        <v>1</v>
      </c>
      <c r="D151" s="44">
        <v>8000</v>
      </c>
      <c r="E151" s="44">
        <f t="shared" si="2"/>
        <v>8000</v>
      </c>
    </row>
    <row r="152" spans="1:5" ht="15.75" thickBot="1" x14ac:dyDescent="0.3">
      <c r="A152" s="554"/>
      <c r="B152" s="57" t="s">
        <v>713</v>
      </c>
      <c r="C152" s="51">
        <v>1</v>
      </c>
      <c r="D152" s="44">
        <v>1000</v>
      </c>
      <c r="E152" s="44">
        <f t="shared" si="2"/>
        <v>1000</v>
      </c>
    </row>
    <row r="153" spans="1:5" ht="17.25" thickBot="1" x14ac:dyDescent="0.3">
      <c r="A153" s="112"/>
      <c r="B153" s="112" t="s">
        <v>714</v>
      </c>
      <c r="C153" s="112"/>
      <c r="D153" s="201"/>
      <c r="E153" s="201">
        <f>SUM(E111:E152)</f>
        <v>4020278.9499999997</v>
      </c>
    </row>
    <row r="154" spans="1:5" ht="17.25" thickBot="1" x14ac:dyDescent="0.3">
      <c r="A154" s="112"/>
      <c r="B154" s="112" t="s">
        <v>715</v>
      </c>
      <c r="C154" s="112"/>
      <c r="D154" s="201"/>
      <c r="E154" s="201">
        <f>+E153+E109</f>
        <v>8642013.8261538483</v>
      </c>
    </row>
    <row r="157" spans="1:5" ht="15.75" thickBot="1" x14ac:dyDescent="0.3"/>
    <row r="158" spans="1:5" ht="33.75" thickBot="1" x14ac:dyDescent="0.3">
      <c r="A158" s="466" t="s">
        <v>228</v>
      </c>
      <c r="B158" s="466" t="s">
        <v>85</v>
      </c>
      <c r="C158" s="466" t="s">
        <v>229</v>
      </c>
      <c r="D158" s="25" t="s">
        <v>123</v>
      </c>
      <c r="E158" s="25" t="s">
        <v>230</v>
      </c>
    </row>
    <row r="159" spans="1:5" ht="15.75" thickBot="1" x14ac:dyDescent="0.3">
      <c r="A159" s="558" t="s">
        <v>473</v>
      </c>
      <c r="B159" s="48" t="s">
        <v>477</v>
      </c>
      <c r="C159" s="47">
        <v>118</v>
      </c>
      <c r="D159" s="44">
        <v>260</v>
      </c>
      <c r="E159" s="44">
        <f t="shared" ref="E159:E190" si="3">D159*C159</f>
        <v>30680</v>
      </c>
    </row>
    <row r="160" spans="1:5" ht="15.75" thickBot="1" x14ac:dyDescent="0.3">
      <c r="A160" s="559" t="s">
        <v>473</v>
      </c>
      <c r="B160" s="32" t="s">
        <v>479</v>
      </c>
      <c r="C160" s="15">
        <v>92</v>
      </c>
      <c r="D160" s="44">
        <v>84</v>
      </c>
      <c r="E160" s="44">
        <f t="shared" si="3"/>
        <v>7728</v>
      </c>
    </row>
    <row r="161" spans="1:5" ht="15.75" thickBot="1" x14ac:dyDescent="0.3">
      <c r="A161" s="559" t="s">
        <v>473</v>
      </c>
      <c r="B161" s="32" t="s">
        <v>481</v>
      </c>
      <c r="C161" s="15">
        <v>111</v>
      </c>
      <c r="D161" s="44">
        <v>29</v>
      </c>
      <c r="E161" s="44">
        <f t="shared" si="3"/>
        <v>3219</v>
      </c>
    </row>
    <row r="162" spans="1:5" ht="15.75" thickBot="1" x14ac:dyDescent="0.3">
      <c r="A162" s="559" t="s">
        <v>473</v>
      </c>
      <c r="B162" s="32" t="s">
        <v>483</v>
      </c>
      <c r="C162" s="15">
        <v>120</v>
      </c>
      <c r="D162" s="44">
        <v>32</v>
      </c>
      <c r="E162" s="44">
        <f t="shared" si="3"/>
        <v>3840</v>
      </c>
    </row>
    <row r="163" spans="1:5" ht="15.75" thickBot="1" x14ac:dyDescent="0.3">
      <c r="A163" s="559" t="s">
        <v>473</v>
      </c>
      <c r="B163" s="32" t="s">
        <v>485</v>
      </c>
      <c r="C163" s="15">
        <v>115</v>
      </c>
      <c r="D163" s="44">
        <v>78</v>
      </c>
      <c r="E163" s="44">
        <f t="shared" si="3"/>
        <v>8970</v>
      </c>
    </row>
    <row r="164" spans="1:5" ht="15.75" thickBot="1" x14ac:dyDescent="0.3">
      <c r="A164" s="559" t="s">
        <v>473</v>
      </c>
      <c r="B164" s="32" t="s">
        <v>487</v>
      </c>
      <c r="C164" s="15">
        <v>120</v>
      </c>
      <c r="D164" s="44">
        <v>52</v>
      </c>
      <c r="E164" s="44">
        <f t="shared" si="3"/>
        <v>6240</v>
      </c>
    </row>
    <row r="165" spans="1:5" ht="15.75" thickBot="1" x14ac:dyDescent="0.3">
      <c r="A165" s="559" t="s">
        <v>473</v>
      </c>
      <c r="B165" s="32" t="s">
        <v>489</v>
      </c>
      <c r="C165" s="15">
        <v>95</v>
      </c>
      <c r="D165" s="44">
        <v>201</v>
      </c>
      <c r="E165" s="44">
        <f t="shared" si="3"/>
        <v>19095</v>
      </c>
    </row>
    <row r="166" spans="1:5" ht="15.75" thickBot="1" x14ac:dyDescent="0.3">
      <c r="A166" s="559" t="s">
        <v>473</v>
      </c>
      <c r="B166" s="32" t="s">
        <v>491</v>
      </c>
      <c r="C166" s="15">
        <v>117</v>
      </c>
      <c r="D166" s="44">
        <v>60</v>
      </c>
      <c r="E166" s="44">
        <f t="shared" si="3"/>
        <v>7020</v>
      </c>
    </row>
    <row r="167" spans="1:5" ht="30.75" thickBot="1" x14ac:dyDescent="0.3">
      <c r="A167" s="559" t="s">
        <v>473</v>
      </c>
      <c r="B167" s="32" t="s">
        <v>119</v>
      </c>
      <c r="C167" s="15">
        <v>68</v>
      </c>
      <c r="D167" s="44">
        <v>3202</v>
      </c>
      <c r="E167" s="44">
        <f t="shared" si="3"/>
        <v>217736</v>
      </c>
    </row>
    <row r="168" spans="1:5" ht="15.75" thickBot="1" x14ac:dyDescent="0.3">
      <c r="A168" s="559" t="s">
        <v>473</v>
      </c>
      <c r="B168" s="32" t="s">
        <v>116</v>
      </c>
      <c r="C168" s="15">
        <v>5</v>
      </c>
      <c r="D168" s="44">
        <v>12096</v>
      </c>
      <c r="E168" s="44">
        <f t="shared" si="3"/>
        <v>60480</v>
      </c>
    </row>
    <row r="169" spans="1:5" ht="15.75" thickBot="1" x14ac:dyDescent="0.3">
      <c r="A169" s="559" t="s">
        <v>473</v>
      </c>
      <c r="B169" s="32" t="s">
        <v>114</v>
      </c>
      <c r="C169" s="15">
        <v>56</v>
      </c>
      <c r="D169" s="44">
        <v>3600</v>
      </c>
      <c r="E169" s="44">
        <f t="shared" si="3"/>
        <v>201600</v>
      </c>
    </row>
    <row r="170" spans="1:5" ht="15.75" thickBot="1" x14ac:dyDescent="0.3">
      <c r="A170" s="559" t="s">
        <v>473</v>
      </c>
      <c r="B170" s="32" t="s">
        <v>493</v>
      </c>
      <c r="C170" s="15">
        <v>28</v>
      </c>
      <c r="D170" s="44">
        <v>274</v>
      </c>
      <c r="E170" s="44">
        <f t="shared" si="3"/>
        <v>7672</v>
      </c>
    </row>
    <row r="171" spans="1:5" ht="15.75" thickBot="1" x14ac:dyDescent="0.3">
      <c r="A171" s="559" t="s">
        <v>473</v>
      </c>
      <c r="B171" s="32" t="s">
        <v>495</v>
      </c>
      <c r="C171" s="15">
        <v>49</v>
      </c>
      <c r="D171" s="44">
        <v>1778</v>
      </c>
      <c r="E171" s="44">
        <f t="shared" si="3"/>
        <v>87122</v>
      </c>
    </row>
    <row r="172" spans="1:5" ht="15.75" thickBot="1" x14ac:dyDescent="0.3">
      <c r="A172" s="559" t="s">
        <v>473</v>
      </c>
      <c r="B172" s="32" t="s">
        <v>497</v>
      </c>
      <c r="C172" s="15">
        <v>22</v>
      </c>
      <c r="D172" s="44">
        <v>154</v>
      </c>
      <c r="E172" s="44">
        <f t="shared" si="3"/>
        <v>3388</v>
      </c>
    </row>
    <row r="173" spans="1:5" ht="15.75" thickBot="1" x14ac:dyDescent="0.3">
      <c r="A173" s="559" t="s">
        <v>473</v>
      </c>
      <c r="B173" s="32" t="s">
        <v>102</v>
      </c>
      <c r="C173" s="15">
        <v>13</v>
      </c>
      <c r="D173" s="44">
        <v>13144</v>
      </c>
      <c r="E173" s="44">
        <f t="shared" si="3"/>
        <v>170872</v>
      </c>
    </row>
    <row r="174" spans="1:5" ht="15.75" thickBot="1" x14ac:dyDescent="0.3">
      <c r="A174" s="559" t="s">
        <v>473</v>
      </c>
      <c r="B174" s="32" t="s">
        <v>100</v>
      </c>
      <c r="C174" s="15">
        <v>4</v>
      </c>
      <c r="D174" s="44">
        <v>7500</v>
      </c>
      <c r="E174" s="44">
        <f t="shared" si="3"/>
        <v>30000</v>
      </c>
    </row>
    <row r="175" spans="1:5" ht="15.75" thickBot="1" x14ac:dyDescent="0.3">
      <c r="A175" s="559" t="s">
        <v>473</v>
      </c>
      <c r="B175" s="32" t="s">
        <v>98</v>
      </c>
      <c r="C175" s="15">
        <v>1</v>
      </c>
      <c r="D175" s="44">
        <v>8750</v>
      </c>
      <c r="E175" s="44">
        <f t="shared" si="3"/>
        <v>8750</v>
      </c>
    </row>
    <row r="176" spans="1:5" ht="15.75" thickBot="1" x14ac:dyDescent="0.3">
      <c r="A176" s="559" t="s">
        <v>473</v>
      </c>
      <c r="B176" s="32" t="s">
        <v>499</v>
      </c>
      <c r="C176" s="15">
        <v>2</v>
      </c>
      <c r="D176" s="44">
        <v>256</v>
      </c>
      <c r="E176" s="44">
        <f t="shared" si="3"/>
        <v>512</v>
      </c>
    </row>
    <row r="177" spans="1:5" ht="15.75" thickBot="1" x14ac:dyDescent="0.3">
      <c r="A177" s="559" t="s">
        <v>473</v>
      </c>
      <c r="B177" s="32" t="s">
        <v>501</v>
      </c>
      <c r="C177" s="15">
        <v>2</v>
      </c>
      <c r="D177" s="44">
        <v>72</v>
      </c>
      <c r="E177" s="44">
        <f t="shared" si="3"/>
        <v>144</v>
      </c>
    </row>
    <row r="178" spans="1:5" ht="15.75" thickBot="1" x14ac:dyDescent="0.3">
      <c r="A178" s="559" t="s">
        <v>473</v>
      </c>
      <c r="B178" s="32" t="s">
        <v>108</v>
      </c>
      <c r="C178" s="15">
        <v>36</v>
      </c>
      <c r="D178" s="44">
        <v>3305</v>
      </c>
      <c r="E178" s="44">
        <f t="shared" si="3"/>
        <v>118980</v>
      </c>
    </row>
    <row r="179" spans="1:5" ht="15.75" thickBot="1" x14ac:dyDescent="0.3">
      <c r="A179" s="559" t="s">
        <v>473</v>
      </c>
      <c r="B179" s="32" t="s">
        <v>503</v>
      </c>
      <c r="C179" s="15">
        <v>8</v>
      </c>
      <c r="D179" s="44">
        <v>403</v>
      </c>
      <c r="E179" s="44">
        <f t="shared" si="3"/>
        <v>3224</v>
      </c>
    </row>
    <row r="180" spans="1:5" ht="15.75" thickBot="1" x14ac:dyDescent="0.3">
      <c r="A180" s="559" t="s">
        <v>473</v>
      </c>
      <c r="B180" s="32" t="s">
        <v>505</v>
      </c>
      <c r="C180" s="15">
        <v>10</v>
      </c>
      <c r="D180" s="44">
        <v>140</v>
      </c>
      <c r="E180" s="44">
        <f t="shared" si="3"/>
        <v>1400</v>
      </c>
    </row>
    <row r="181" spans="1:5" ht="15.75" thickBot="1" x14ac:dyDescent="0.3">
      <c r="A181" s="559" t="s">
        <v>473</v>
      </c>
      <c r="B181" s="32" t="s">
        <v>716</v>
      </c>
      <c r="C181" s="15">
        <v>9</v>
      </c>
      <c r="D181" s="44">
        <v>250</v>
      </c>
      <c r="E181" s="44">
        <f t="shared" si="3"/>
        <v>2250</v>
      </c>
    </row>
    <row r="182" spans="1:5" ht="15.75" thickBot="1" x14ac:dyDescent="0.3">
      <c r="A182" s="559" t="s">
        <v>473</v>
      </c>
      <c r="B182" s="32" t="s">
        <v>507</v>
      </c>
      <c r="C182" s="15">
        <v>56</v>
      </c>
      <c r="D182" s="44">
        <v>135</v>
      </c>
      <c r="E182" s="44">
        <f t="shared" si="3"/>
        <v>7560</v>
      </c>
    </row>
    <row r="183" spans="1:5" ht="15.75" thickBot="1" x14ac:dyDescent="0.3">
      <c r="A183" s="559" t="s">
        <v>473</v>
      </c>
      <c r="B183" s="32" t="s">
        <v>509</v>
      </c>
      <c r="C183" s="15">
        <v>56</v>
      </c>
      <c r="D183" s="44">
        <v>210</v>
      </c>
      <c r="E183" s="44">
        <f t="shared" si="3"/>
        <v>11760</v>
      </c>
    </row>
    <row r="184" spans="1:5" ht="15.75" thickBot="1" x14ac:dyDescent="0.3">
      <c r="A184" s="559" t="s">
        <v>473</v>
      </c>
      <c r="B184" s="32" t="s">
        <v>499</v>
      </c>
      <c r="C184" s="15">
        <v>9</v>
      </c>
      <c r="D184" s="44">
        <f>627000/650</f>
        <v>964.61538461538464</v>
      </c>
      <c r="E184" s="44">
        <f t="shared" si="3"/>
        <v>8681.538461538461</v>
      </c>
    </row>
    <row r="185" spans="1:5" ht="15.75" thickBot="1" x14ac:dyDescent="0.3">
      <c r="A185" s="559" t="s">
        <v>473</v>
      </c>
      <c r="B185" s="32" t="s">
        <v>110</v>
      </c>
      <c r="C185" s="15">
        <v>4</v>
      </c>
      <c r="D185" s="44">
        <v>5572</v>
      </c>
      <c r="E185" s="44">
        <f t="shared" si="3"/>
        <v>22288</v>
      </c>
    </row>
    <row r="186" spans="1:5" ht="15.75" thickBot="1" x14ac:dyDescent="0.3">
      <c r="A186" s="559" t="s">
        <v>473</v>
      </c>
      <c r="B186" s="32" t="s">
        <v>513</v>
      </c>
      <c r="C186" s="15">
        <v>20</v>
      </c>
      <c r="D186" s="44">
        <v>1200</v>
      </c>
      <c r="E186" s="44">
        <f t="shared" si="3"/>
        <v>24000</v>
      </c>
    </row>
    <row r="187" spans="1:5" ht="15.75" thickBot="1" x14ac:dyDescent="0.3">
      <c r="A187" s="559" t="s">
        <v>473</v>
      </c>
      <c r="B187" s="32" t="s">
        <v>104</v>
      </c>
      <c r="C187" s="15">
        <v>1</v>
      </c>
      <c r="D187" s="44">
        <v>19274</v>
      </c>
      <c r="E187" s="44">
        <f t="shared" si="3"/>
        <v>19274</v>
      </c>
    </row>
    <row r="188" spans="1:5" ht="15.75" thickBot="1" x14ac:dyDescent="0.3">
      <c r="A188" s="559" t="s">
        <v>473</v>
      </c>
      <c r="B188" s="32" t="s">
        <v>515</v>
      </c>
      <c r="C188" s="15">
        <v>5</v>
      </c>
      <c r="D188" s="44">
        <v>48</v>
      </c>
      <c r="E188" s="44">
        <f t="shared" si="3"/>
        <v>240</v>
      </c>
    </row>
    <row r="189" spans="1:5" ht="15.75" thickBot="1" x14ac:dyDescent="0.3">
      <c r="A189" s="559" t="s">
        <v>473</v>
      </c>
      <c r="B189" s="32" t="s">
        <v>717</v>
      </c>
      <c r="C189" s="15">
        <v>13</v>
      </c>
      <c r="D189" s="44">
        <v>18750</v>
      </c>
      <c r="E189" s="44">
        <f t="shared" si="3"/>
        <v>243750</v>
      </c>
    </row>
    <row r="190" spans="1:5" ht="15.75" thickBot="1" x14ac:dyDescent="0.3">
      <c r="A190" s="560" t="s">
        <v>473</v>
      </c>
      <c r="B190" s="57" t="s">
        <v>112</v>
      </c>
      <c r="C190" s="51">
        <v>54</v>
      </c>
      <c r="D190" s="44">
        <v>450</v>
      </c>
      <c r="E190" s="44">
        <f t="shared" si="3"/>
        <v>24300</v>
      </c>
    </row>
    <row r="191" spans="1:5" ht="17.25" thickBot="1" x14ac:dyDescent="0.3">
      <c r="A191" s="112"/>
      <c r="B191" s="112" t="s">
        <v>516</v>
      </c>
      <c r="C191" s="112"/>
      <c r="D191" s="201"/>
      <c r="E191" s="201">
        <f>SUM(E159:E190)</f>
        <v>1362775.5384615385</v>
      </c>
    </row>
    <row r="194" spans="1:5" ht="15.75" thickBot="1" x14ac:dyDescent="0.3"/>
    <row r="195" spans="1:5" ht="33.75" thickBot="1" x14ac:dyDescent="0.3">
      <c r="A195" s="466" t="s">
        <v>228</v>
      </c>
      <c r="B195" s="466" t="s">
        <v>85</v>
      </c>
      <c r="C195" s="466" t="s">
        <v>229</v>
      </c>
      <c r="D195" s="25" t="s">
        <v>123</v>
      </c>
      <c r="E195" s="25" t="s">
        <v>230</v>
      </c>
    </row>
    <row r="196" spans="1:5" ht="15.75" thickBot="1" x14ac:dyDescent="0.3">
      <c r="A196" s="558" t="s">
        <v>517</v>
      </c>
      <c r="B196" s="48" t="s">
        <v>521</v>
      </c>
      <c r="C196" s="47">
        <v>130</v>
      </c>
      <c r="D196" s="44">
        <v>1753</v>
      </c>
      <c r="E196" s="44">
        <f t="shared" ref="E196:E222" si="4">D196*C196</f>
        <v>227890</v>
      </c>
    </row>
    <row r="197" spans="1:5" ht="15.75" thickBot="1" x14ac:dyDescent="0.3">
      <c r="A197" s="559" t="s">
        <v>517</v>
      </c>
      <c r="B197" s="32" t="s">
        <v>533</v>
      </c>
      <c r="C197" s="15">
        <v>4</v>
      </c>
      <c r="D197" s="44">
        <v>2089.48</v>
      </c>
      <c r="E197" s="44">
        <f t="shared" si="4"/>
        <v>8357.92</v>
      </c>
    </row>
    <row r="198" spans="1:5" ht="15.75" thickBot="1" x14ac:dyDescent="0.3">
      <c r="A198" s="559" t="s">
        <v>517</v>
      </c>
      <c r="B198" s="32" t="s">
        <v>126</v>
      </c>
      <c r="C198" s="15">
        <v>1</v>
      </c>
      <c r="D198" s="44">
        <v>8540</v>
      </c>
      <c r="E198" s="44">
        <f t="shared" si="4"/>
        <v>8540</v>
      </c>
    </row>
    <row r="199" spans="1:5" ht="45.75" thickBot="1" x14ac:dyDescent="0.3">
      <c r="A199" s="559" t="s">
        <v>517</v>
      </c>
      <c r="B199" s="32" t="s">
        <v>129</v>
      </c>
      <c r="C199" s="15">
        <v>2</v>
      </c>
      <c r="D199" s="44">
        <v>244998.75</v>
      </c>
      <c r="E199" s="44">
        <f t="shared" si="4"/>
        <v>489997.5</v>
      </c>
    </row>
    <row r="200" spans="1:5" ht="30.75" thickBot="1" x14ac:dyDescent="0.3">
      <c r="A200" s="559" t="s">
        <v>517</v>
      </c>
      <c r="B200" s="32" t="s">
        <v>131</v>
      </c>
      <c r="C200" s="15">
        <v>2</v>
      </c>
      <c r="D200" s="44">
        <v>54499</v>
      </c>
      <c r="E200" s="44">
        <f t="shared" si="4"/>
        <v>108998</v>
      </c>
    </row>
    <row r="201" spans="1:5" ht="30.75" thickBot="1" x14ac:dyDescent="0.3">
      <c r="A201" s="559" t="s">
        <v>517</v>
      </c>
      <c r="B201" s="32" t="s">
        <v>133</v>
      </c>
      <c r="C201" s="15">
        <v>4</v>
      </c>
      <c r="D201" s="44">
        <v>57249</v>
      </c>
      <c r="E201" s="44">
        <f t="shared" si="4"/>
        <v>228996</v>
      </c>
    </row>
    <row r="202" spans="1:5" ht="15.75" thickBot="1" x14ac:dyDescent="0.3">
      <c r="A202" s="559" t="s">
        <v>517</v>
      </c>
      <c r="B202" s="32" t="s">
        <v>718</v>
      </c>
      <c r="C202" s="15">
        <v>1</v>
      </c>
      <c r="D202" s="44">
        <v>10400</v>
      </c>
      <c r="E202" s="44">
        <f t="shared" si="4"/>
        <v>10400</v>
      </c>
    </row>
    <row r="203" spans="1:5" ht="30.75" thickBot="1" x14ac:dyDescent="0.3">
      <c r="A203" s="559" t="s">
        <v>517</v>
      </c>
      <c r="B203" s="32" t="s">
        <v>523</v>
      </c>
      <c r="C203" s="15">
        <v>8</v>
      </c>
      <c r="D203" s="44">
        <v>710</v>
      </c>
      <c r="E203" s="44">
        <f t="shared" si="4"/>
        <v>5680</v>
      </c>
    </row>
    <row r="204" spans="1:5" ht="15.75" thickBot="1" x14ac:dyDescent="0.3">
      <c r="A204" s="559" t="s">
        <v>517</v>
      </c>
      <c r="B204" s="32" t="s">
        <v>525</v>
      </c>
      <c r="C204" s="15">
        <v>8</v>
      </c>
      <c r="D204" s="44">
        <v>659.99</v>
      </c>
      <c r="E204" s="44">
        <f t="shared" si="4"/>
        <v>5279.92</v>
      </c>
    </row>
    <row r="205" spans="1:5" ht="15.75" thickBot="1" x14ac:dyDescent="0.3">
      <c r="A205" s="559" t="s">
        <v>517</v>
      </c>
      <c r="B205" s="32" t="s">
        <v>527</v>
      </c>
      <c r="C205" s="15">
        <v>45</v>
      </c>
      <c r="D205" s="44">
        <v>2410.9</v>
      </c>
      <c r="E205" s="44">
        <f t="shared" si="4"/>
        <v>108490.5</v>
      </c>
    </row>
    <row r="206" spans="1:5" ht="15.75" thickBot="1" x14ac:dyDescent="0.3">
      <c r="A206" s="559" t="s">
        <v>517</v>
      </c>
      <c r="B206" s="32" t="s">
        <v>136</v>
      </c>
      <c r="C206" s="15">
        <v>13</v>
      </c>
      <c r="D206" s="44">
        <v>11022</v>
      </c>
      <c r="E206" s="44">
        <f t="shared" si="4"/>
        <v>143286</v>
      </c>
    </row>
    <row r="207" spans="1:5" ht="30.75" thickBot="1" x14ac:dyDescent="0.3">
      <c r="A207" s="559" t="s">
        <v>517</v>
      </c>
      <c r="B207" s="32" t="s">
        <v>530</v>
      </c>
      <c r="C207" s="15">
        <v>52</v>
      </c>
      <c r="D207" s="44">
        <v>2134</v>
      </c>
      <c r="E207" s="44">
        <f t="shared" si="4"/>
        <v>110968</v>
      </c>
    </row>
    <row r="208" spans="1:5" ht="15.75" thickBot="1" x14ac:dyDescent="0.3">
      <c r="A208" s="559" t="s">
        <v>517</v>
      </c>
      <c r="B208" s="32" t="s">
        <v>138</v>
      </c>
      <c r="C208" s="15">
        <v>2</v>
      </c>
      <c r="D208" s="44">
        <v>250260</v>
      </c>
      <c r="E208" s="44">
        <f t="shared" si="4"/>
        <v>500520</v>
      </c>
    </row>
    <row r="209" spans="1:5" ht="15.75" thickBot="1" x14ac:dyDescent="0.3">
      <c r="A209" s="559" t="s">
        <v>517</v>
      </c>
      <c r="B209" s="32" t="s">
        <v>140</v>
      </c>
      <c r="C209" s="15">
        <v>2</v>
      </c>
      <c r="D209" s="44">
        <v>75650</v>
      </c>
      <c r="E209" s="44">
        <f t="shared" si="4"/>
        <v>151300</v>
      </c>
    </row>
    <row r="210" spans="1:5" ht="15.75" thickBot="1" x14ac:dyDescent="0.3">
      <c r="A210" s="559" t="s">
        <v>517</v>
      </c>
      <c r="B210" s="32" t="s">
        <v>142</v>
      </c>
      <c r="C210" s="15">
        <v>2</v>
      </c>
      <c r="D210" s="44">
        <v>181147</v>
      </c>
      <c r="E210" s="44">
        <f t="shared" si="4"/>
        <v>362294</v>
      </c>
    </row>
    <row r="211" spans="1:5" ht="15.75" thickBot="1" x14ac:dyDescent="0.3">
      <c r="A211" s="559" t="s">
        <v>517</v>
      </c>
      <c r="B211" s="32" t="s">
        <v>144</v>
      </c>
      <c r="C211" s="15">
        <v>6</v>
      </c>
      <c r="D211" s="44">
        <v>247000</v>
      </c>
      <c r="E211" s="44">
        <f t="shared" si="4"/>
        <v>1482000</v>
      </c>
    </row>
    <row r="212" spans="1:5" ht="15.75" thickBot="1" x14ac:dyDescent="0.3">
      <c r="A212" s="559" t="s">
        <v>517</v>
      </c>
      <c r="B212" s="32" t="s">
        <v>146</v>
      </c>
      <c r="C212" s="15">
        <v>1</v>
      </c>
      <c r="D212" s="44">
        <v>12740</v>
      </c>
      <c r="E212" s="44">
        <f t="shared" si="4"/>
        <v>12740</v>
      </c>
    </row>
    <row r="213" spans="1:5" ht="15.75" thickBot="1" x14ac:dyDescent="0.3">
      <c r="A213" s="559" t="s">
        <v>517</v>
      </c>
      <c r="B213" s="32" t="s">
        <v>148</v>
      </c>
      <c r="C213" s="15">
        <v>1</v>
      </c>
      <c r="D213" s="44">
        <v>24190</v>
      </c>
      <c r="E213" s="44">
        <f t="shared" si="4"/>
        <v>24190</v>
      </c>
    </row>
    <row r="214" spans="1:5" ht="15.75" thickBot="1" x14ac:dyDescent="0.3">
      <c r="A214" s="559" t="s">
        <v>517</v>
      </c>
      <c r="B214" s="32" t="s">
        <v>150</v>
      </c>
      <c r="C214" s="15">
        <v>1</v>
      </c>
      <c r="D214" s="44">
        <v>61950</v>
      </c>
      <c r="E214" s="44">
        <f t="shared" si="4"/>
        <v>61950</v>
      </c>
    </row>
    <row r="215" spans="1:5" ht="15.75" thickBot="1" x14ac:dyDescent="0.3">
      <c r="A215" s="559" t="s">
        <v>517</v>
      </c>
      <c r="B215" s="32" t="s">
        <v>152</v>
      </c>
      <c r="C215" s="15">
        <v>3</v>
      </c>
      <c r="D215" s="44">
        <v>22080</v>
      </c>
      <c r="E215" s="44">
        <f t="shared" si="4"/>
        <v>66240</v>
      </c>
    </row>
    <row r="216" spans="1:5" ht="15.75" thickBot="1" x14ac:dyDescent="0.3">
      <c r="A216" s="559" t="s">
        <v>517</v>
      </c>
      <c r="B216" s="32" t="s">
        <v>154</v>
      </c>
      <c r="C216" s="15">
        <v>1</v>
      </c>
      <c r="D216" s="44">
        <v>16630</v>
      </c>
      <c r="E216" s="44">
        <f t="shared" si="4"/>
        <v>16630</v>
      </c>
    </row>
    <row r="217" spans="1:5" ht="15.75" thickBot="1" x14ac:dyDescent="0.3">
      <c r="A217" s="559" t="s">
        <v>517</v>
      </c>
      <c r="B217" s="32" t="s">
        <v>156</v>
      </c>
      <c r="C217" s="15">
        <v>1</v>
      </c>
      <c r="D217" s="44">
        <v>72745</v>
      </c>
      <c r="E217" s="44">
        <f t="shared" si="4"/>
        <v>72745</v>
      </c>
    </row>
    <row r="218" spans="1:5" ht="15.75" thickBot="1" x14ac:dyDescent="0.3">
      <c r="A218" s="559" t="s">
        <v>517</v>
      </c>
      <c r="B218" s="32" t="s">
        <v>158</v>
      </c>
      <c r="C218" s="15">
        <v>2</v>
      </c>
      <c r="D218" s="44">
        <v>18224</v>
      </c>
      <c r="E218" s="44">
        <f t="shared" si="4"/>
        <v>36448</v>
      </c>
    </row>
    <row r="219" spans="1:5" ht="15.75" thickBot="1" x14ac:dyDescent="0.3">
      <c r="A219" s="559" t="s">
        <v>517</v>
      </c>
      <c r="B219" s="32" t="s">
        <v>160</v>
      </c>
      <c r="C219" s="15">
        <v>2</v>
      </c>
      <c r="D219" s="44">
        <v>47215</v>
      </c>
      <c r="E219" s="44">
        <f t="shared" si="4"/>
        <v>94430</v>
      </c>
    </row>
    <row r="220" spans="1:5" ht="15.75" thickBot="1" x14ac:dyDescent="0.3">
      <c r="A220" s="559" t="s">
        <v>517</v>
      </c>
      <c r="B220" s="32" t="s">
        <v>162</v>
      </c>
      <c r="C220" s="15">
        <v>3</v>
      </c>
      <c r="D220" s="44">
        <v>108900</v>
      </c>
      <c r="E220" s="44">
        <f t="shared" si="4"/>
        <v>326700</v>
      </c>
    </row>
    <row r="221" spans="1:5" ht="30.75" thickBot="1" x14ac:dyDescent="0.3">
      <c r="A221" s="559" t="s">
        <v>517</v>
      </c>
      <c r="B221" s="32" t="s">
        <v>164</v>
      </c>
      <c r="C221" s="15">
        <v>4</v>
      </c>
      <c r="D221" s="44">
        <v>48964</v>
      </c>
      <c r="E221" s="44">
        <f t="shared" si="4"/>
        <v>195856</v>
      </c>
    </row>
    <row r="222" spans="1:5" ht="15.75" thickBot="1" x14ac:dyDescent="0.3">
      <c r="A222" s="560" t="s">
        <v>517</v>
      </c>
      <c r="B222" s="57" t="s">
        <v>166</v>
      </c>
      <c r="C222" s="51">
        <v>2</v>
      </c>
      <c r="D222" s="44">
        <v>2692.3</v>
      </c>
      <c r="E222" s="44">
        <f t="shared" si="4"/>
        <v>5384.6</v>
      </c>
    </row>
    <row r="223" spans="1:5" ht="17.25" thickBot="1" x14ac:dyDescent="0.3">
      <c r="A223" s="112"/>
      <c r="B223" s="112" t="s">
        <v>534</v>
      </c>
      <c r="C223" s="112"/>
      <c r="D223" s="201"/>
      <c r="E223" s="201">
        <f>SUM(E196:E222)</f>
        <v>4866311.4399999995</v>
      </c>
    </row>
    <row r="225" spans="1:5" ht="15.75" thickBot="1" x14ac:dyDescent="0.3"/>
    <row r="226" spans="1:5" ht="33.75" thickBot="1" x14ac:dyDescent="0.3">
      <c r="A226" s="466" t="s">
        <v>228</v>
      </c>
      <c r="B226" s="466" t="s">
        <v>85</v>
      </c>
      <c r="C226" s="466" t="s">
        <v>229</v>
      </c>
      <c r="D226" s="201" t="s">
        <v>123</v>
      </c>
      <c r="E226" s="201" t="s">
        <v>230</v>
      </c>
    </row>
    <row r="227" spans="1:5" ht="15.75" thickBot="1" x14ac:dyDescent="0.3">
      <c r="A227" s="558" t="s">
        <v>535</v>
      </c>
      <c r="B227" s="48" t="s">
        <v>169</v>
      </c>
      <c r="C227" s="47">
        <v>8</v>
      </c>
      <c r="D227" s="44">
        <f>79000*1.15</f>
        <v>90850</v>
      </c>
      <c r="E227" s="44">
        <f t="shared" ref="E227:E236" si="5">D227*C227</f>
        <v>726800</v>
      </c>
    </row>
    <row r="228" spans="1:5" ht="30.75" thickBot="1" x14ac:dyDescent="0.3">
      <c r="A228" s="559" t="s">
        <v>535</v>
      </c>
      <c r="B228" s="32" t="s">
        <v>172</v>
      </c>
      <c r="C228" s="15">
        <v>9</v>
      </c>
      <c r="D228" s="44">
        <v>4932</v>
      </c>
      <c r="E228" s="44">
        <f t="shared" si="5"/>
        <v>44388</v>
      </c>
    </row>
    <row r="229" spans="1:5" ht="15.75" thickBot="1" x14ac:dyDescent="0.3">
      <c r="A229" s="559" t="s">
        <v>535</v>
      </c>
      <c r="B229" s="32" t="s">
        <v>174</v>
      </c>
      <c r="C229" s="15">
        <v>18</v>
      </c>
      <c r="D229" s="44">
        <v>92</v>
      </c>
      <c r="E229" s="44">
        <f t="shared" si="5"/>
        <v>1656</v>
      </c>
    </row>
    <row r="230" spans="1:5" ht="15.75" thickBot="1" x14ac:dyDescent="0.3">
      <c r="A230" s="559" t="s">
        <v>535</v>
      </c>
      <c r="B230" s="32" t="s">
        <v>177</v>
      </c>
      <c r="C230" s="15">
        <v>9</v>
      </c>
      <c r="D230" s="44">
        <v>65</v>
      </c>
      <c r="E230" s="44">
        <f t="shared" si="5"/>
        <v>585</v>
      </c>
    </row>
    <row r="231" spans="1:5" ht="15.75" thickBot="1" x14ac:dyDescent="0.3">
      <c r="A231" s="559" t="s">
        <v>535</v>
      </c>
      <c r="B231" s="32" t="s">
        <v>538</v>
      </c>
      <c r="C231" s="15">
        <v>9</v>
      </c>
      <c r="D231" s="44">
        <v>2750</v>
      </c>
      <c r="E231" s="44">
        <f t="shared" si="5"/>
        <v>24750</v>
      </c>
    </row>
    <row r="232" spans="1:5" ht="30.75" thickBot="1" x14ac:dyDescent="0.3">
      <c r="A232" s="559" t="s">
        <v>535</v>
      </c>
      <c r="B232" s="32" t="s">
        <v>540</v>
      </c>
      <c r="C232" s="15">
        <v>9</v>
      </c>
      <c r="D232" s="44">
        <v>1240</v>
      </c>
      <c r="E232" s="44">
        <f t="shared" si="5"/>
        <v>11160</v>
      </c>
    </row>
    <row r="233" spans="1:5" ht="15.75" thickBot="1" x14ac:dyDescent="0.3">
      <c r="A233" s="559" t="s">
        <v>535</v>
      </c>
      <c r="B233" s="32" t="s">
        <v>542</v>
      </c>
      <c r="C233" s="15">
        <v>9</v>
      </c>
      <c r="D233" s="44">
        <v>62</v>
      </c>
      <c r="E233" s="44">
        <f t="shared" si="5"/>
        <v>558</v>
      </c>
    </row>
    <row r="234" spans="1:5" ht="15.75" thickBot="1" x14ac:dyDescent="0.3">
      <c r="A234" s="559" t="s">
        <v>535</v>
      </c>
      <c r="B234" s="32" t="s">
        <v>544</v>
      </c>
      <c r="C234" s="15">
        <v>9</v>
      </c>
      <c r="D234" s="44">
        <v>65</v>
      </c>
      <c r="E234" s="44">
        <f t="shared" si="5"/>
        <v>585</v>
      </c>
    </row>
    <row r="235" spans="1:5" ht="30.75" thickBot="1" x14ac:dyDescent="0.3">
      <c r="A235" s="559" t="s">
        <v>535</v>
      </c>
      <c r="B235" s="32" t="s">
        <v>546</v>
      </c>
      <c r="C235" s="15">
        <v>9</v>
      </c>
      <c r="D235" s="44">
        <v>500</v>
      </c>
      <c r="E235" s="44">
        <f t="shared" si="5"/>
        <v>4500</v>
      </c>
    </row>
    <row r="236" spans="1:5" ht="15.75" thickBot="1" x14ac:dyDescent="0.3">
      <c r="A236" s="560" t="s">
        <v>535</v>
      </c>
      <c r="B236" s="57" t="s">
        <v>548</v>
      </c>
      <c r="C236" s="51">
        <v>9</v>
      </c>
      <c r="D236" s="44">
        <v>218</v>
      </c>
      <c r="E236" s="44">
        <f t="shared" si="5"/>
        <v>1962</v>
      </c>
    </row>
    <row r="237" spans="1:5" ht="17.25" thickBot="1" x14ac:dyDescent="0.3">
      <c r="A237" s="112"/>
      <c r="B237" s="112" t="s">
        <v>549</v>
      </c>
      <c r="C237" s="112"/>
      <c r="D237" s="201"/>
      <c r="E237" s="201">
        <f>SUM(E227:E236)</f>
        <v>816944</v>
      </c>
    </row>
    <row r="239" spans="1:5" ht="15.75" thickBot="1" x14ac:dyDescent="0.3"/>
    <row r="240" spans="1:5" ht="33.75" thickBot="1" x14ac:dyDescent="0.3">
      <c r="A240" s="466" t="s">
        <v>228</v>
      </c>
      <c r="B240" s="466" t="s">
        <v>85</v>
      </c>
      <c r="C240" s="466" t="s">
        <v>229</v>
      </c>
      <c r="D240" s="201" t="s">
        <v>123</v>
      </c>
      <c r="E240" s="201" t="s">
        <v>230</v>
      </c>
    </row>
    <row r="241" spans="1:5" ht="33.75" thickBot="1" x14ac:dyDescent="0.3">
      <c r="A241" s="112" t="s">
        <v>552</v>
      </c>
      <c r="B241" s="93" t="s">
        <v>182</v>
      </c>
      <c r="C241" s="128">
        <v>30</v>
      </c>
      <c r="D241" s="44">
        <v>1000</v>
      </c>
      <c r="E241" s="44">
        <f t="shared" ref="E241" si="6">D241*C241</f>
        <v>30000</v>
      </c>
    </row>
    <row r="242" spans="1:5" ht="17.25" thickBot="1" x14ac:dyDescent="0.3">
      <c r="A242" s="112"/>
      <c r="B242" s="112" t="s">
        <v>553</v>
      </c>
      <c r="C242" s="112"/>
      <c r="D242" s="201"/>
      <c r="E242" s="201">
        <f>+E241</f>
        <v>30000</v>
      </c>
    </row>
    <row r="244" spans="1:5" ht="15.75" thickBot="1" x14ac:dyDescent="0.3"/>
    <row r="245" spans="1:5" ht="33.75" thickBot="1" x14ac:dyDescent="0.3">
      <c r="A245" s="466" t="s">
        <v>228</v>
      </c>
      <c r="B245" s="466" t="s">
        <v>85</v>
      </c>
      <c r="C245" s="466" t="s">
        <v>229</v>
      </c>
      <c r="D245" s="25" t="s">
        <v>123</v>
      </c>
      <c r="E245" s="25" t="s">
        <v>556</v>
      </c>
    </row>
    <row r="246" spans="1:5" ht="15.75" thickBot="1" x14ac:dyDescent="0.3">
      <c r="A246" s="553" t="s">
        <v>554</v>
      </c>
      <c r="B246" s="48" t="s">
        <v>188</v>
      </c>
      <c r="C246" s="47">
        <v>9</v>
      </c>
      <c r="D246" s="44">
        <v>2856</v>
      </c>
      <c r="E246" s="44">
        <f t="shared" ref="E246:E256" si="7">D246*C246</f>
        <v>25704</v>
      </c>
    </row>
    <row r="247" spans="1:5" ht="15.75" thickBot="1" x14ac:dyDescent="0.3">
      <c r="A247" s="554"/>
      <c r="B247" s="32" t="s">
        <v>723</v>
      </c>
      <c r="C247" s="15">
        <v>9</v>
      </c>
      <c r="D247" s="44">
        <v>458.39</v>
      </c>
      <c r="E247" s="44">
        <f t="shared" si="7"/>
        <v>4125.51</v>
      </c>
    </row>
    <row r="248" spans="1:5" ht="15.75" thickBot="1" x14ac:dyDescent="0.3">
      <c r="A248" s="554"/>
      <c r="B248" s="32" t="s">
        <v>560</v>
      </c>
      <c r="C248" s="15">
        <v>9</v>
      </c>
      <c r="D248" s="44">
        <v>2562</v>
      </c>
      <c r="E248" s="44">
        <f t="shared" si="7"/>
        <v>23058</v>
      </c>
    </row>
    <row r="249" spans="1:5" ht="15.75" thickBot="1" x14ac:dyDescent="0.3">
      <c r="A249" s="554"/>
      <c r="B249" s="32" t="s">
        <v>191</v>
      </c>
      <c r="C249" s="15">
        <v>5</v>
      </c>
      <c r="D249" s="44">
        <v>9040</v>
      </c>
      <c r="E249" s="44">
        <f t="shared" si="7"/>
        <v>45200</v>
      </c>
    </row>
    <row r="250" spans="1:5" ht="15.75" thickBot="1" x14ac:dyDescent="0.3">
      <c r="A250" s="554"/>
      <c r="B250" s="32" t="s">
        <v>562</v>
      </c>
      <c r="C250" s="15">
        <v>9</v>
      </c>
      <c r="D250" s="44">
        <v>709</v>
      </c>
      <c r="E250" s="44">
        <f t="shared" si="7"/>
        <v>6381</v>
      </c>
    </row>
    <row r="251" spans="1:5" ht="15.75" thickBot="1" x14ac:dyDescent="0.3">
      <c r="A251" s="554"/>
      <c r="B251" s="32" t="s">
        <v>564</v>
      </c>
      <c r="C251" s="15">
        <v>9</v>
      </c>
      <c r="D251" s="44">
        <v>164</v>
      </c>
      <c r="E251" s="44">
        <f t="shared" si="7"/>
        <v>1476</v>
      </c>
    </row>
    <row r="252" spans="1:5" ht="15.75" thickBot="1" x14ac:dyDescent="0.3">
      <c r="A252" s="554"/>
      <c r="B252" s="32" t="s">
        <v>193</v>
      </c>
      <c r="C252" s="15">
        <v>1</v>
      </c>
      <c r="D252" s="44">
        <v>12000</v>
      </c>
      <c r="E252" s="44">
        <f t="shared" si="7"/>
        <v>12000</v>
      </c>
    </row>
    <row r="253" spans="1:5" ht="15.75" thickBot="1" x14ac:dyDescent="0.3">
      <c r="A253" s="554"/>
      <c r="B253" s="32" t="s">
        <v>566</v>
      </c>
      <c r="C253" s="15">
        <v>23</v>
      </c>
      <c r="D253" s="44">
        <v>70</v>
      </c>
      <c r="E253" s="44">
        <f t="shared" si="7"/>
        <v>1610</v>
      </c>
    </row>
    <row r="254" spans="1:5" ht="15.75" thickBot="1" x14ac:dyDescent="0.3">
      <c r="A254" s="554"/>
      <c r="B254" s="32" t="s">
        <v>568</v>
      </c>
      <c r="C254" s="15">
        <v>7</v>
      </c>
      <c r="D254" s="44">
        <v>2900</v>
      </c>
      <c r="E254" s="44">
        <f t="shared" si="7"/>
        <v>20300</v>
      </c>
    </row>
    <row r="255" spans="1:5" ht="15.75" thickBot="1" x14ac:dyDescent="0.3">
      <c r="A255" s="554"/>
      <c r="B255" s="32" t="s">
        <v>195</v>
      </c>
      <c r="C255" s="15">
        <v>10</v>
      </c>
      <c r="D255" s="44">
        <v>1300</v>
      </c>
      <c r="E255" s="44">
        <f t="shared" si="7"/>
        <v>13000</v>
      </c>
    </row>
    <row r="256" spans="1:5" ht="15.75" thickBot="1" x14ac:dyDescent="0.3">
      <c r="A256" s="561"/>
      <c r="B256" s="57" t="s">
        <v>570</v>
      </c>
      <c r="C256" s="51">
        <v>10</v>
      </c>
      <c r="D256" s="44">
        <v>212</v>
      </c>
      <c r="E256" s="44">
        <f t="shared" si="7"/>
        <v>2120</v>
      </c>
    </row>
    <row r="257" spans="1:5" ht="17.25" thickBot="1" x14ac:dyDescent="0.3">
      <c r="A257" s="112"/>
      <c r="B257" s="112" t="s">
        <v>571</v>
      </c>
      <c r="C257" s="112"/>
      <c r="D257" s="201"/>
      <c r="E257" s="201">
        <f>SUM(E246:E256)</f>
        <v>154974.51</v>
      </c>
    </row>
    <row r="260" spans="1:5" ht="15.75" thickBot="1" x14ac:dyDescent="0.3"/>
    <row r="261" spans="1:5" ht="33.75" thickBot="1" x14ac:dyDescent="0.3">
      <c r="A261" s="466" t="s">
        <v>228</v>
      </c>
      <c r="B261" s="466" t="s">
        <v>85</v>
      </c>
      <c r="C261" s="466" t="s">
        <v>229</v>
      </c>
      <c r="D261" s="25" t="s">
        <v>123</v>
      </c>
      <c r="E261" s="25" t="s">
        <v>230</v>
      </c>
    </row>
    <row r="262" spans="1:5" ht="15.75" thickBot="1" x14ac:dyDescent="0.3">
      <c r="A262" s="562" t="s">
        <v>572</v>
      </c>
      <c r="B262" s="104" t="s">
        <v>197</v>
      </c>
      <c r="C262" s="47">
        <v>2</v>
      </c>
      <c r="D262" s="44">
        <v>68118</v>
      </c>
      <c r="E262" s="44">
        <f t="shared" ref="E262:E264" si="8">D262*C262</f>
        <v>136236</v>
      </c>
    </row>
    <row r="263" spans="1:5" ht="15.75" thickBot="1" x14ac:dyDescent="0.3">
      <c r="A263" s="563"/>
      <c r="B263" s="105" t="s">
        <v>199</v>
      </c>
      <c r="C263" s="15">
        <v>5</v>
      </c>
      <c r="D263" s="44">
        <v>24460</v>
      </c>
      <c r="E263" s="44">
        <f t="shared" si="8"/>
        <v>122300</v>
      </c>
    </row>
    <row r="264" spans="1:5" ht="15.75" thickBot="1" x14ac:dyDescent="0.3">
      <c r="A264" s="564"/>
      <c r="B264" s="106" t="s">
        <v>201</v>
      </c>
      <c r="C264" s="51">
        <v>2</v>
      </c>
      <c r="D264" s="44">
        <v>2493</v>
      </c>
      <c r="E264" s="44">
        <f t="shared" si="8"/>
        <v>4986</v>
      </c>
    </row>
    <row r="265" spans="1:5" ht="17.25" thickBot="1" x14ac:dyDescent="0.3">
      <c r="A265" s="112"/>
      <c r="B265" s="112" t="s">
        <v>574</v>
      </c>
      <c r="C265" s="112"/>
      <c r="D265" s="201"/>
      <c r="E265" s="201">
        <f>SUM(E262:E264)</f>
        <v>263522</v>
      </c>
    </row>
    <row r="268" spans="1:5" ht="15.75" thickBot="1" x14ac:dyDescent="0.3"/>
    <row r="269" spans="1:5" ht="33.75" thickBot="1" x14ac:dyDescent="0.3">
      <c r="A269" s="466" t="s">
        <v>228</v>
      </c>
      <c r="B269" s="112" t="s">
        <v>85</v>
      </c>
      <c r="C269" s="112" t="s">
        <v>229</v>
      </c>
      <c r="D269" s="201" t="s">
        <v>123</v>
      </c>
      <c r="E269" s="201" t="s">
        <v>230</v>
      </c>
    </row>
    <row r="270" spans="1:5" ht="33.75" thickBot="1" x14ac:dyDescent="0.3">
      <c r="A270" s="112" t="s">
        <v>575</v>
      </c>
      <c r="B270" s="107" t="s">
        <v>686</v>
      </c>
      <c r="C270" s="465">
        <v>1</v>
      </c>
      <c r="D270" s="44">
        <v>172012</v>
      </c>
      <c r="E270" s="44">
        <f t="shared" ref="E270" si="9">D270*C270</f>
        <v>172012</v>
      </c>
    </row>
    <row r="271" spans="1:5" ht="17.25" thickBot="1" x14ac:dyDescent="0.3">
      <c r="A271" s="112"/>
      <c r="B271" s="112" t="s">
        <v>577</v>
      </c>
      <c r="C271" s="112"/>
      <c r="D271" s="201"/>
      <c r="E271" s="201">
        <f>+E270</f>
        <v>172012</v>
      </c>
    </row>
    <row r="273" spans="1:5" ht="15.75" thickBot="1" x14ac:dyDescent="0.3"/>
    <row r="274" spans="1:5" ht="33.75" thickBot="1" x14ac:dyDescent="0.3">
      <c r="A274" s="466" t="s">
        <v>228</v>
      </c>
      <c r="B274" s="466" t="s">
        <v>85</v>
      </c>
      <c r="C274" s="112" t="s">
        <v>229</v>
      </c>
      <c r="D274" s="25" t="s">
        <v>123</v>
      </c>
      <c r="E274" s="25" t="s">
        <v>230</v>
      </c>
    </row>
    <row r="275" spans="1:5" ht="50.25" thickBot="1" x14ac:dyDescent="0.3">
      <c r="A275" s="112" t="s">
        <v>578</v>
      </c>
      <c r="B275" s="109" t="s">
        <v>205</v>
      </c>
      <c r="C275" s="465">
        <v>1</v>
      </c>
      <c r="D275" s="44">
        <f>D227</f>
        <v>90850</v>
      </c>
      <c r="E275" s="44">
        <f t="shared" ref="E275" si="10">D275*C275</f>
        <v>90850</v>
      </c>
    </row>
    <row r="276" spans="1:5" ht="17.25" thickBot="1" x14ac:dyDescent="0.3">
      <c r="A276" s="112"/>
      <c r="B276" s="112" t="s">
        <v>580</v>
      </c>
      <c r="C276" s="112"/>
      <c r="D276" s="201"/>
      <c r="E276" s="201">
        <f>+E275</f>
        <v>90850</v>
      </c>
    </row>
    <row r="278" spans="1:5" ht="15.75" thickBot="1" x14ac:dyDescent="0.3"/>
    <row r="279" spans="1:5" ht="33.75" thickBot="1" x14ac:dyDescent="0.3">
      <c r="A279" s="466" t="s">
        <v>228</v>
      </c>
      <c r="B279" s="466" t="s">
        <v>85</v>
      </c>
      <c r="C279" s="466" t="s">
        <v>229</v>
      </c>
      <c r="D279" s="25" t="s">
        <v>123</v>
      </c>
      <c r="E279" s="25" t="s">
        <v>230</v>
      </c>
    </row>
    <row r="280" spans="1:5" ht="30.75" thickBot="1" x14ac:dyDescent="0.3">
      <c r="A280" s="558" t="s">
        <v>581</v>
      </c>
      <c r="B280" s="48" t="s">
        <v>208</v>
      </c>
      <c r="C280" s="47">
        <v>14</v>
      </c>
      <c r="D280" s="44">
        <v>570</v>
      </c>
      <c r="E280" s="44">
        <f t="shared" ref="E280:E283" si="11">D280*C280</f>
        <v>7980</v>
      </c>
    </row>
    <row r="281" spans="1:5" ht="30.75" thickBot="1" x14ac:dyDescent="0.3">
      <c r="A281" s="559" t="s">
        <v>581</v>
      </c>
      <c r="B281" s="32" t="s">
        <v>210</v>
      </c>
      <c r="C281" s="15">
        <v>8</v>
      </c>
      <c r="D281" s="44">
        <f>3334*1.19</f>
        <v>3967.46</v>
      </c>
      <c r="E281" s="44">
        <f t="shared" si="11"/>
        <v>31739.68</v>
      </c>
    </row>
    <row r="282" spans="1:5" ht="30.75" thickBot="1" x14ac:dyDescent="0.3">
      <c r="A282" s="559" t="s">
        <v>581</v>
      </c>
      <c r="B282" s="32" t="s">
        <v>584</v>
      </c>
      <c r="C282" s="15">
        <v>14</v>
      </c>
      <c r="D282" s="44">
        <v>24870</v>
      </c>
      <c r="E282" s="44">
        <f t="shared" si="11"/>
        <v>348180</v>
      </c>
    </row>
    <row r="283" spans="1:5" ht="15.75" thickBot="1" x14ac:dyDescent="0.3">
      <c r="A283" s="560" t="s">
        <v>581</v>
      </c>
      <c r="B283" s="57" t="s">
        <v>212</v>
      </c>
      <c r="C283" s="51">
        <v>8</v>
      </c>
      <c r="D283" s="44">
        <v>42800</v>
      </c>
      <c r="E283" s="44">
        <f t="shared" si="11"/>
        <v>342400</v>
      </c>
    </row>
    <row r="284" spans="1:5" ht="17.25" thickBot="1" x14ac:dyDescent="0.3">
      <c r="A284" s="112"/>
      <c r="B284" s="112" t="s">
        <v>585</v>
      </c>
      <c r="C284" s="112"/>
      <c r="D284" s="201"/>
      <c r="E284" s="201">
        <f>SUM(E280:E283)</f>
        <v>730299.67999999993</v>
      </c>
    </row>
    <row r="286" spans="1:5" ht="15.75" thickBot="1" x14ac:dyDescent="0.3"/>
    <row r="287" spans="1:5" ht="33.75" thickBot="1" x14ac:dyDescent="0.3">
      <c r="A287" s="466" t="s">
        <v>228</v>
      </c>
      <c r="B287" s="466" t="s">
        <v>85</v>
      </c>
      <c r="C287" s="466" t="s">
        <v>229</v>
      </c>
      <c r="D287" s="25" t="s">
        <v>123</v>
      </c>
      <c r="E287" s="25" t="s">
        <v>230</v>
      </c>
    </row>
    <row r="288" spans="1:5" ht="15.75" thickBot="1" x14ac:dyDescent="0.3">
      <c r="A288" s="565" t="s">
        <v>586</v>
      </c>
      <c r="B288" s="48" t="s">
        <v>214</v>
      </c>
      <c r="C288" s="47">
        <v>1</v>
      </c>
      <c r="D288" s="44">
        <v>1600</v>
      </c>
      <c r="E288" s="44">
        <f>D288*C288</f>
        <v>1600</v>
      </c>
    </row>
    <row r="289" spans="1:5" ht="15.75" thickBot="1" x14ac:dyDescent="0.3">
      <c r="A289" s="566"/>
      <c r="B289" s="32" t="s">
        <v>216</v>
      </c>
      <c r="C289" s="15">
        <v>1</v>
      </c>
      <c r="D289" s="44">
        <v>3058</v>
      </c>
      <c r="E289" s="44">
        <f t="shared" ref="E289:E292" si="12">D289*C289</f>
        <v>3058</v>
      </c>
    </row>
    <row r="290" spans="1:5" ht="15.75" thickBot="1" x14ac:dyDescent="0.3">
      <c r="A290" s="566"/>
      <c r="B290" s="32" t="s">
        <v>218</v>
      </c>
      <c r="C290" s="15">
        <v>4</v>
      </c>
      <c r="D290" s="44">
        <v>2880</v>
      </c>
      <c r="E290" s="44">
        <f t="shared" si="12"/>
        <v>11520</v>
      </c>
    </row>
    <row r="291" spans="1:5" ht="15.75" thickBot="1" x14ac:dyDescent="0.3">
      <c r="A291" s="566"/>
      <c r="B291" s="32" t="s">
        <v>220</v>
      </c>
      <c r="C291" s="15">
        <v>1</v>
      </c>
      <c r="D291" s="44">
        <v>1990</v>
      </c>
      <c r="E291" s="44">
        <f t="shared" si="12"/>
        <v>1990</v>
      </c>
    </row>
    <row r="292" spans="1:5" ht="15.75" thickBot="1" x14ac:dyDescent="0.3">
      <c r="A292" s="567"/>
      <c r="B292" s="57" t="s">
        <v>222</v>
      </c>
      <c r="C292" s="51">
        <v>1</v>
      </c>
      <c r="D292" s="44">
        <v>43500</v>
      </c>
      <c r="E292" s="44">
        <f t="shared" si="12"/>
        <v>43500</v>
      </c>
    </row>
    <row r="293" spans="1:5" ht="17.25" thickBot="1" x14ac:dyDescent="0.3">
      <c r="A293" s="112"/>
      <c r="B293" s="112" t="s">
        <v>588</v>
      </c>
      <c r="C293" s="112"/>
      <c r="D293" s="201"/>
      <c r="E293" s="201">
        <f>SUM(E288:E292)</f>
        <v>61668</v>
      </c>
    </row>
    <row r="295" spans="1:5" ht="15.75" thickBot="1" x14ac:dyDescent="0.3"/>
    <row r="296" spans="1:5" ht="17.25" thickBot="1" x14ac:dyDescent="0.3">
      <c r="E296" s="201">
        <f>E293+E284+E276+E271+E265+E257+E242+E237+E223+E191+E153+E109++E49</f>
        <v>25231706.994615383</v>
      </c>
    </row>
    <row r="303" spans="1:5" ht="15.75" thickBot="1" x14ac:dyDescent="0.3"/>
    <row r="304" spans="1:5" ht="17.25" thickBot="1" x14ac:dyDescent="0.3">
      <c r="A304" s="575" t="s">
        <v>725</v>
      </c>
      <c r="B304" s="555" t="s">
        <v>726</v>
      </c>
      <c r="C304" s="555"/>
      <c r="D304" s="580" t="s">
        <v>230</v>
      </c>
      <c r="E304" s="581"/>
    </row>
    <row r="305" spans="1:5" ht="17.25" thickBot="1" x14ac:dyDescent="0.3">
      <c r="A305" s="576"/>
      <c r="B305" s="556" t="s">
        <v>734</v>
      </c>
      <c r="C305" s="557"/>
      <c r="D305" s="582">
        <f>E49</f>
        <v>8040336</v>
      </c>
      <c r="E305" s="583"/>
    </row>
    <row r="306" spans="1:5" ht="17.25" thickBot="1" x14ac:dyDescent="0.3">
      <c r="A306" s="576"/>
      <c r="B306" s="556" t="s">
        <v>727</v>
      </c>
      <c r="C306" s="557"/>
      <c r="D306" s="582">
        <f>E154</f>
        <v>8642013.8261538483</v>
      </c>
      <c r="E306" s="583"/>
    </row>
    <row r="307" spans="1:5" ht="17.25" thickBot="1" x14ac:dyDescent="0.3">
      <c r="A307" s="576"/>
      <c r="B307" s="556" t="s">
        <v>728</v>
      </c>
      <c r="C307" s="557"/>
      <c r="D307" s="582">
        <f>E191</f>
        <v>1362775.5384615385</v>
      </c>
      <c r="E307" s="583"/>
    </row>
    <row r="308" spans="1:5" ht="17.25" thickBot="1" x14ac:dyDescent="0.3">
      <c r="A308" s="576"/>
      <c r="B308" s="556" t="s">
        <v>729</v>
      </c>
      <c r="C308" s="557"/>
      <c r="D308" s="582">
        <f>E223</f>
        <v>4866311.4399999995</v>
      </c>
      <c r="E308" s="583"/>
    </row>
    <row r="309" spans="1:5" ht="17.25" thickBot="1" x14ac:dyDescent="0.3">
      <c r="A309" s="576"/>
      <c r="B309" s="568" t="s">
        <v>730</v>
      </c>
      <c r="C309" s="569"/>
      <c r="D309" s="573">
        <f>E237</f>
        <v>816944</v>
      </c>
      <c r="E309" s="574"/>
    </row>
    <row r="310" spans="1:5" ht="17.25" thickBot="1" x14ac:dyDescent="0.3">
      <c r="A310" s="576"/>
      <c r="B310" s="568" t="s">
        <v>731</v>
      </c>
      <c r="C310" s="569"/>
      <c r="D310" s="573">
        <f>E242</f>
        <v>30000</v>
      </c>
      <c r="E310" s="574"/>
    </row>
    <row r="311" spans="1:5" ht="17.25" thickBot="1" x14ac:dyDescent="0.3">
      <c r="A311" s="576"/>
      <c r="B311" s="568" t="s">
        <v>732</v>
      </c>
      <c r="C311" s="569"/>
      <c r="D311" s="573">
        <f>E257</f>
        <v>154974.51</v>
      </c>
      <c r="E311" s="574"/>
    </row>
    <row r="312" spans="1:5" ht="17.25" thickBot="1" x14ac:dyDescent="0.3">
      <c r="A312" s="576"/>
      <c r="B312" s="568" t="s">
        <v>735</v>
      </c>
      <c r="C312" s="569"/>
      <c r="D312" s="573">
        <f>E265</f>
        <v>263522</v>
      </c>
      <c r="E312" s="574"/>
    </row>
    <row r="313" spans="1:5" ht="17.25" thickBot="1" x14ac:dyDescent="0.3">
      <c r="A313" s="576"/>
      <c r="B313" s="568" t="s">
        <v>736</v>
      </c>
      <c r="C313" s="569"/>
      <c r="D313" s="573">
        <f>E271</f>
        <v>172012</v>
      </c>
      <c r="E313" s="574"/>
    </row>
    <row r="314" spans="1:5" ht="17.25" thickBot="1" x14ac:dyDescent="0.3">
      <c r="A314" s="576"/>
      <c r="B314" s="568" t="s">
        <v>737</v>
      </c>
      <c r="C314" s="569"/>
      <c r="D314" s="573">
        <f>E276</f>
        <v>90850</v>
      </c>
      <c r="E314" s="574"/>
    </row>
    <row r="315" spans="1:5" ht="17.25" thickBot="1" x14ac:dyDescent="0.3">
      <c r="A315" s="576"/>
      <c r="B315" s="568" t="s">
        <v>733</v>
      </c>
      <c r="C315" s="569"/>
      <c r="D315" s="573">
        <f>E284</f>
        <v>730299.67999999993</v>
      </c>
      <c r="E315" s="574"/>
    </row>
    <row r="316" spans="1:5" ht="17.25" thickBot="1" x14ac:dyDescent="0.3">
      <c r="A316" s="576"/>
      <c r="B316" s="568" t="s">
        <v>738</v>
      </c>
      <c r="C316" s="569"/>
      <c r="D316" s="573">
        <f>E293</f>
        <v>61668</v>
      </c>
      <c r="E316" s="574"/>
    </row>
    <row r="317" spans="1:5" ht="19.5" thickBot="1" x14ac:dyDescent="0.3">
      <c r="A317" s="577"/>
      <c r="B317" s="578" t="s">
        <v>96</v>
      </c>
      <c r="C317" s="579"/>
      <c r="D317" s="573">
        <f>SUM(D305:E316)</f>
        <v>25231706.994615387</v>
      </c>
      <c r="E317" s="574"/>
    </row>
    <row r="320" spans="1:5" ht="17.25" thickBot="1" x14ac:dyDescent="0.3">
      <c r="B320" s="568"/>
      <c r="C320" s="569"/>
    </row>
  </sheetData>
  <mergeCells count="42">
    <mergeCell ref="B314:C314"/>
    <mergeCell ref="D314:E314"/>
    <mergeCell ref="B320:C320"/>
    <mergeCell ref="B315:C315"/>
    <mergeCell ref="D315:E315"/>
    <mergeCell ref="B316:C316"/>
    <mergeCell ref="D316:E316"/>
    <mergeCell ref="B317:C317"/>
    <mergeCell ref="D317:E317"/>
    <mergeCell ref="D312:E312"/>
    <mergeCell ref="B313:C313"/>
    <mergeCell ref="D313:E313"/>
    <mergeCell ref="B311:C311"/>
    <mergeCell ref="D311:E311"/>
    <mergeCell ref="A304:A317"/>
    <mergeCell ref="B304:C304"/>
    <mergeCell ref="D304:E304"/>
    <mergeCell ref="B305:C305"/>
    <mergeCell ref="D305:E305"/>
    <mergeCell ref="B306:C306"/>
    <mergeCell ref="D306:E306"/>
    <mergeCell ref="B307:C307"/>
    <mergeCell ref="D307:E307"/>
    <mergeCell ref="B308:C308"/>
    <mergeCell ref="D308:E308"/>
    <mergeCell ref="B309:C309"/>
    <mergeCell ref="D309:E309"/>
    <mergeCell ref="B310:C310"/>
    <mergeCell ref="D310:E310"/>
    <mergeCell ref="B312:C312"/>
    <mergeCell ref="E126:E128"/>
    <mergeCell ref="A159:A190"/>
    <mergeCell ref="A288:A292"/>
    <mergeCell ref="A3:A48"/>
    <mergeCell ref="A54:A108"/>
    <mergeCell ref="A111:A152"/>
    <mergeCell ref="D126:D128"/>
    <mergeCell ref="A196:A222"/>
    <mergeCell ref="A227:A236"/>
    <mergeCell ref="A246:A256"/>
    <mergeCell ref="A262:A264"/>
    <mergeCell ref="A280:A28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28</vt:i4>
      </vt:variant>
      <vt:variant>
        <vt:lpstr>Rangos con nombre</vt:lpstr>
      </vt:variant>
      <vt:variant>
        <vt:i4>3</vt:i4>
      </vt:variant>
    </vt:vector>
  </HeadingPairs>
  <TitlesOfParts>
    <vt:vector size="31" baseType="lpstr">
      <vt:lpstr>tablas y demases</vt:lpstr>
      <vt:lpstr>Supuestos</vt:lpstr>
      <vt:lpstr>TABLA GENERAL</vt:lpstr>
      <vt:lpstr>TABLA GENERAL FASE 1 Y 2</vt:lpstr>
      <vt:lpstr>ESTIMACIÓN VALOR DE COSTOS</vt:lpstr>
      <vt:lpstr>CCV TOTAL</vt:lpstr>
      <vt:lpstr>(1) CCV C41</vt:lpstr>
      <vt:lpstr>(2) CCV Equip. Militar</vt:lpstr>
      <vt:lpstr>(3) CCV Infiltración</vt:lpstr>
      <vt:lpstr>(4) CCV Logística</vt:lpstr>
      <vt:lpstr>(5) CCV Obt. Info.</vt:lpstr>
      <vt:lpstr>(6) CCV Det. Efect.</vt:lpstr>
      <vt:lpstr>(7) CCV At. Precis.</vt:lpstr>
      <vt:lpstr>(8)CCV OPER. DE BUCEO</vt:lpstr>
      <vt:lpstr>(9) CCV OPER. REBÚSQUEDA</vt:lpstr>
      <vt:lpstr>(10) CCV AP. BOMB. Y FAN</vt:lpstr>
      <vt:lpstr>(11) CCV VIS. Y ABORDAJE</vt:lpstr>
      <vt:lpstr>(12) CCV AP. OPER. CONTAMINADO</vt:lpstr>
      <vt:lpstr>TABLA GENERAL FASE 1 Y 2 (2)</vt:lpstr>
      <vt:lpstr>FASE 1</vt:lpstr>
      <vt:lpstr>AÑO 2021</vt:lpstr>
      <vt:lpstr>AÑO 2022</vt:lpstr>
      <vt:lpstr>AÑO 2023</vt:lpstr>
      <vt:lpstr>TABLA GENERAL (2)</vt:lpstr>
      <vt:lpstr>AÑO 2021+2022</vt:lpstr>
      <vt:lpstr>FASE 2</vt:lpstr>
      <vt:lpstr>BRECHAS</vt:lpstr>
      <vt:lpstr>Hoja1</vt:lpstr>
      <vt:lpstr>'FASE 2'!Área_de_impresión</vt:lpstr>
      <vt:lpstr>'TABLA GENERAL FASE 1 Y 2'!Área_de_impresión</vt:lpstr>
      <vt:lpstr>'TABLA GENERAL FASE 1 Y 2 (2)'!Área_de_impresión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2024-08-13T17:12:50Z</dcterms:modified>
</cp:coreProperties>
</file>