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C:\Users\16812385-k\Desktop\T1 AB VALENZUELA\2025\5. CLASES\"/>
    </mc:Choice>
  </mc:AlternateContent>
  <bookViews>
    <workbookView xWindow="0" yWindow="0" windowWidth="28800" windowHeight="11880" tabRatio="883"/>
  </bookViews>
  <sheets>
    <sheet name="MENU COMÚN" sheetId="1" r:id="rId1"/>
    <sheet name="NOTAS" sheetId="25" r:id="rId2"/>
    <sheet name="LUNES" sheetId="3" r:id="rId3"/>
    <sheet name="MARTES" sheetId="4" r:id="rId4"/>
    <sheet name="MIERCOLES" sheetId="5" r:id="rId5"/>
    <sheet name="JUEVES" sheetId="6" r:id="rId6"/>
    <sheet name="VIERNES" sheetId="7" r:id="rId7"/>
    <sheet name="SABADO" sheetId="8" r:id="rId8"/>
    <sheet name="DOMINGO" sheetId="9" r:id="rId9"/>
    <sheet name="KCAL. Y MACRONUTRIENTES TOTALES" sheetId="10" r:id="rId10"/>
    <sheet name="NSN" sheetId="18" r:id="rId11"/>
    <sheet name="CODIGOS" sheetId="11" r:id="rId12"/>
    <sheet name="INSUMOS TOTALES" sheetId="29" r:id="rId13"/>
    <sheet name="CONSOLIDADO" sheetId="27" r:id="rId14"/>
    <sheet name="PRECIOS VICTOR" sheetId="26" r:id="rId15"/>
    <sheet name="BOLETIN" sheetId="28" r:id="rId16"/>
    <sheet name="DISPONIBILIDAD" sheetId="20" r:id="rId17"/>
  </sheets>
  <definedNames>
    <definedName name="_xlnm._FilterDatabase" localSheetId="11" hidden="1">CODIGOS!$A$1:$N$207</definedName>
    <definedName name="_xlnm._FilterDatabase" localSheetId="13" hidden="1">CONSOLIDADO!$A$4:$E$834</definedName>
    <definedName name="_xlnm._FilterDatabase" localSheetId="12" hidden="1">'INSUMOS TOTALES'!$A$3:$K$208</definedName>
    <definedName name="_xlnm._FilterDatabase" localSheetId="10" hidden="1">NSN!$A$1:$C$381</definedName>
    <definedName name="_xlnm._FilterDatabase" localSheetId="14" hidden="1">'PRECIOS VICTOR'!$A$4:$F$1789</definedName>
    <definedName name="_xlnm.Print_Area" localSheetId="11">CODIGOS!$A$1:$K$203</definedName>
    <definedName name="_xlnm.Print_Area" localSheetId="8">DOMINGO!$A$1:$N$61</definedName>
    <definedName name="_xlnm.Print_Area" localSheetId="5">JUEVES!$A$1:$N$91</definedName>
    <definedName name="_xlnm.Print_Area" localSheetId="9">'KCAL. Y MACRONUTRIENTES TOTALES'!$A$1:$F$14</definedName>
    <definedName name="_xlnm.Print_Area" localSheetId="2">LUNES!$A$1:$N$70</definedName>
    <definedName name="_xlnm.Print_Area" localSheetId="3">MARTES!$A$1:$N$69</definedName>
    <definedName name="_xlnm.Print_Area" localSheetId="0">'MENU COMÚN'!$A$1:$G$36</definedName>
    <definedName name="_xlnm.Print_Area" localSheetId="4">MIERCOLES!$A$1:$N$64</definedName>
    <definedName name="_xlnm.Print_Area" localSheetId="10">NSN!$A$1:$B$365</definedName>
    <definedName name="_xlnm.Print_Area" localSheetId="7">SABADO!$A$1:$N$68</definedName>
    <definedName name="_xlnm.Print_Area" localSheetId="6">VIERNES!$A$1:$N$68</definedName>
    <definedName name="Excel_BuiltIn__FilterDatabase_11">CODIGOS!$B$1:$E$198</definedName>
    <definedName name="Excel_BuiltIn__FilterDatabase_2">#REF!</definedName>
    <definedName name="Excel_BuiltIn__FilterDatabase_3">LUNES!$A$40:$J$48</definedName>
    <definedName name="INGREDIENTES">CODIGOS!$B:$B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5" i="11" l="1"/>
  <c r="J145" i="11"/>
  <c r="I145" i="11"/>
  <c r="H145" i="11"/>
  <c r="A145" i="11"/>
  <c r="M145" i="11" s="1"/>
  <c r="K149" i="11"/>
  <c r="J149" i="11"/>
  <c r="I149" i="11"/>
  <c r="H149" i="11"/>
  <c r="A149" i="11"/>
  <c r="A54" i="11"/>
  <c r="B34" i="8"/>
  <c r="C34" i="8"/>
  <c r="C45" i="9"/>
  <c r="B45" i="9"/>
  <c r="C44" i="9"/>
  <c r="B44" i="9"/>
  <c r="C43" i="9"/>
  <c r="B43" i="9"/>
  <c r="C42" i="9"/>
  <c r="B42" i="9"/>
  <c r="C51" i="8"/>
  <c r="B51" i="8"/>
  <c r="C35" i="8"/>
  <c r="B35" i="8"/>
  <c r="C34" i="7"/>
  <c r="B34" i="7"/>
  <c r="C33" i="7"/>
  <c r="B33" i="7"/>
  <c r="C61" i="6"/>
  <c r="B61" i="6"/>
  <c r="C35" i="5"/>
  <c r="B35" i="5"/>
  <c r="C34" i="5"/>
  <c r="B34" i="5"/>
  <c r="C54" i="4"/>
  <c r="B54" i="4"/>
  <c r="C53" i="4"/>
  <c r="B53" i="4"/>
  <c r="C52" i="4"/>
  <c r="B52" i="4"/>
  <c r="D52" i="3"/>
  <c r="C52" i="3"/>
  <c r="B52" i="3"/>
  <c r="D51" i="3"/>
  <c r="C51" i="3"/>
  <c r="B51" i="3"/>
  <c r="D50" i="3"/>
  <c r="C50" i="3"/>
  <c r="B50" i="3"/>
  <c r="M149" i="11" l="1"/>
  <c r="M54" i="11"/>
  <c r="D32" i="3"/>
  <c r="C32" i="3"/>
  <c r="B32" i="3"/>
  <c r="D31" i="3"/>
  <c r="C31" i="3"/>
  <c r="B31" i="3"/>
  <c r="C19" i="5" l="1"/>
  <c r="B19" i="5"/>
  <c r="C18" i="5"/>
  <c r="B18" i="5"/>
  <c r="C17" i="5"/>
  <c r="B17" i="5"/>
  <c r="K54" i="11" l="1"/>
  <c r="J54" i="11"/>
  <c r="I54" i="11"/>
  <c r="H54" i="11"/>
  <c r="C36" i="7"/>
  <c r="B36" i="7"/>
  <c r="C55" i="8"/>
  <c r="B55" i="8"/>
  <c r="C54" i="8"/>
  <c r="B54" i="8"/>
  <c r="C53" i="7" l="1"/>
  <c r="B53" i="7"/>
  <c r="C52" i="7"/>
  <c r="B52" i="7"/>
  <c r="C51" i="7"/>
  <c r="B51" i="7"/>
  <c r="C48" i="9" l="1"/>
  <c r="B48" i="9"/>
  <c r="C47" i="9"/>
  <c r="B47" i="9"/>
  <c r="C46" i="9"/>
  <c r="B46" i="9"/>
  <c r="C41" i="9"/>
  <c r="B41" i="9"/>
  <c r="C63" i="6"/>
  <c r="B63" i="6"/>
  <c r="C50" i="5"/>
  <c r="B50" i="5"/>
  <c r="C51" i="4"/>
  <c r="B51" i="4"/>
  <c r="D45" i="3"/>
  <c r="C45" i="3"/>
  <c r="B45" i="3"/>
  <c r="C16" i="6"/>
  <c r="B16" i="6"/>
  <c r="K124" i="11" l="1"/>
  <c r="J124" i="11"/>
  <c r="I124" i="11"/>
  <c r="H124" i="11"/>
  <c r="F1328" i="26"/>
  <c r="F1329" i="26"/>
  <c r="F1330" i="26"/>
  <c r="F1331" i="26"/>
  <c r="F1332" i="26"/>
  <c r="F1333" i="26"/>
  <c r="F1334" i="26"/>
  <c r="F1335" i="26"/>
  <c r="F1336" i="26"/>
  <c r="F1337" i="26"/>
  <c r="F1338" i="26"/>
  <c r="F1339" i="26"/>
  <c r="F1340" i="26"/>
  <c r="F1341" i="26"/>
  <c r="F1342" i="26"/>
  <c r="F1343" i="26"/>
  <c r="F1344" i="26"/>
  <c r="F1345" i="26"/>
  <c r="F1346" i="26"/>
  <c r="F1347" i="26"/>
  <c r="F1348" i="26"/>
  <c r="F1349" i="26"/>
  <c r="F1350" i="26"/>
  <c r="F1351" i="26"/>
  <c r="F1352" i="26"/>
  <c r="F1353" i="26"/>
  <c r="F1354" i="26"/>
  <c r="F1355" i="26"/>
  <c r="F1356" i="26"/>
  <c r="F1357" i="26"/>
  <c r="F1358" i="26"/>
  <c r="F1359" i="26"/>
  <c r="F1360" i="26"/>
  <c r="F1361" i="26"/>
  <c r="F1362" i="26"/>
  <c r="F1363" i="26"/>
  <c r="F1364" i="26"/>
  <c r="F1365" i="26"/>
  <c r="F1366" i="26"/>
  <c r="F1367" i="26"/>
  <c r="F1368" i="26"/>
  <c r="F1369" i="26"/>
  <c r="F1370" i="26"/>
  <c r="F1371" i="26"/>
  <c r="F1372" i="26"/>
  <c r="F1373" i="26"/>
  <c r="F1374" i="26"/>
  <c r="F1375" i="26"/>
  <c r="F1376" i="26"/>
  <c r="F1377" i="26"/>
  <c r="F1378" i="26"/>
  <c r="F1379" i="26"/>
  <c r="F1380" i="26"/>
  <c r="F1381" i="26"/>
  <c r="F1382" i="26"/>
  <c r="F1383" i="26"/>
  <c r="F1384" i="26"/>
  <c r="F1385" i="26"/>
  <c r="F1386" i="26"/>
  <c r="F1387" i="26"/>
  <c r="F1388" i="26"/>
  <c r="F1389" i="26"/>
  <c r="F1390" i="26"/>
  <c r="F1391" i="26"/>
  <c r="F1392" i="26"/>
  <c r="F1393" i="26"/>
  <c r="F1394" i="26"/>
  <c r="F1395" i="26"/>
  <c r="F1396" i="26"/>
  <c r="F1397" i="26"/>
  <c r="F1398" i="26"/>
  <c r="F1399" i="26"/>
  <c r="F1400" i="26"/>
  <c r="F1401" i="26"/>
  <c r="F1402" i="26"/>
  <c r="F1403" i="26"/>
  <c r="F1404" i="26"/>
  <c r="F1405" i="26"/>
  <c r="F1406" i="26"/>
  <c r="F1407" i="26"/>
  <c r="F1408" i="26"/>
  <c r="F1409" i="26"/>
  <c r="F1410" i="26"/>
  <c r="F1411" i="26"/>
  <c r="F1412" i="26"/>
  <c r="F1413" i="26"/>
  <c r="F1414" i="26"/>
  <c r="F1415" i="26"/>
  <c r="F1416" i="26"/>
  <c r="F1417" i="26"/>
  <c r="F1418" i="26"/>
  <c r="F1419" i="26"/>
  <c r="F1420" i="26"/>
  <c r="F1421" i="26"/>
  <c r="F1422" i="26"/>
  <c r="F1423" i="26"/>
  <c r="F1424" i="26"/>
  <c r="F1425" i="26"/>
  <c r="F1426" i="26"/>
  <c r="F1427" i="26"/>
  <c r="F1428" i="26"/>
  <c r="F1429" i="26"/>
  <c r="F1430" i="26"/>
  <c r="F1431" i="26"/>
  <c r="F1432" i="26"/>
  <c r="F1433" i="26"/>
  <c r="F1434" i="26"/>
  <c r="F1435" i="26"/>
  <c r="F1436" i="26"/>
  <c r="F1437" i="26"/>
  <c r="F1438" i="26"/>
  <c r="F1439" i="26"/>
  <c r="F1440" i="26"/>
  <c r="F1441" i="26"/>
  <c r="F1442" i="26"/>
  <c r="F1443" i="26"/>
  <c r="F1444" i="26"/>
  <c r="F1445" i="26"/>
  <c r="F1446" i="26"/>
  <c r="F1447" i="26"/>
  <c r="F1448" i="26"/>
  <c r="F1449" i="26"/>
  <c r="F1450" i="26"/>
  <c r="F1451" i="26"/>
  <c r="F1452" i="26"/>
  <c r="F1453" i="26"/>
  <c r="F1454" i="26"/>
  <c r="F1455" i="26"/>
  <c r="F1456" i="26"/>
  <c r="F1457" i="26"/>
  <c r="F1458" i="26"/>
  <c r="F1459" i="26"/>
  <c r="F1460" i="26"/>
  <c r="F1461" i="26"/>
  <c r="F1462" i="26"/>
  <c r="F1463" i="26"/>
  <c r="F1464" i="26"/>
  <c r="F1465" i="26"/>
  <c r="F1466" i="26"/>
  <c r="F1467" i="26"/>
  <c r="F1468" i="26"/>
  <c r="F1469" i="26"/>
  <c r="F1470" i="26"/>
  <c r="F1471" i="26"/>
  <c r="F1472" i="26"/>
  <c r="F1473" i="26"/>
  <c r="F1474" i="26"/>
  <c r="F1475" i="26"/>
  <c r="F1476" i="26"/>
  <c r="F1477" i="26"/>
  <c r="F1478" i="26"/>
  <c r="F1479" i="26"/>
  <c r="F1480" i="26"/>
  <c r="F1481" i="26"/>
  <c r="F1482" i="26"/>
  <c r="F1483" i="26"/>
  <c r="F1484" i="26"/>
  <c r="F1485" i="26"/>
  <c r="F1486" i="26"/>
  <c r="F1487" i="26"/>
  <c r="F1488" i="26"/>
  <c r="F1489" i="26"/>
  <c r="F1490" i="26"/>
  <c r="F1491" i="26"/>
  <c r="F1492" i="26"/>
  <c r="F1493" i="26"/>
  <c r="F1494" i="26"/>
  <c r="F1495" i="26"/>
  <c r="F1496" i="26"/>
  <c r="F1497" i="26"/>
  <c r="F1498" i="26"/>
  <c r="F1499" i="26"/>
  <c r="F1500" i="26"/>
  <c r="F1501" i="26"/>
  <c r="F1502" i="26"/>
  <c r="F1503" i="26"/>
  <c r="F1504" i="26"/>
  <c r="F1505" i="26"/>
  <c r="F1506" i="26"/>
  <c r="F1507" i="26"/>
  <c r="F1508" i="26"/>
  <c r="F1509" i="26"/>
  <c r="F1510" i="26"/>
  <c r="F1511" i="26"/>
  <c r="F1512" i="26"/>
  <c r="F1513" i="26"/>
  <c r="F1514" i="26"/>
  <c r="F1515" i="26"/>
  <c r="F1516" i="26"/>
  <c r="F1517" i="26"/>
  <c r="F1518" i="26"/>
  <c r="F1519" i="26"/>
  <c r="F1520" i="26"/>
  <c r="F1521" i="26"/>
  <c r="F1522" i="26"/>
  <c r="F1523" i="26"/>
  <c r="F1524" i="26"/>
  <c r="F1525" i="26"/>
  <c r="F1526" i="26"/>
  <c r="F1527" i="26"/>
  <c r="F1528" i="26"/>
  <c r="F1529" i="26"/>
  <c r="F1530" i="26"/>
  <c r="F1531" i="26"/>
  <c r="F1532" i="26"/>
  <c r="F1533" i="26"/>
  <c r="F1534" i="26"/>
  <c r="F1535" i="26"/>
  <c r="F1536" i="26"/>
  <c r="F1537" i="26"/>
  <c r="F1538" i="26"/>
  <c r="F1539" i="26"/>
  <c r="F1540" i="26"/>
  <c r="F1541" i="26"/>
  <c r="F1542" i="26"/>
  <c r="F1543" i="26"/>
  <c r="F1544" i="26"/>
  <c r="F1545" i="26"/>
  <c r="F1546" i="26"/>
  <c r="F1547" i="26"/>
  <c r="F1548" i="26"/>
  <c r="F1549" i="26"/>
  <c r="F1550" i="26"/>
  <c r="F1551" i="26"/>
  <c r="F1552" i="26"/>
  <c r="F1553" i="26"/>
  <c r="F1554" i="26"/>
  <c r="F1555" i="26"/>
  <c r="F1556" i="26"/>
  <c r="F1557" i="26"/>
  <c r="F1558" i="26"/>
  <c r="F1559" i="26"/>
  <c r="F1560" i="26"/>
  <c r="F1561" i="26"/>
  <c r="F1562" i="26"/>
  <c r="F1563" i="26"/>
  <c r="F1564" i="26"/>
  <c r="F1565" i="26"/>
  <c r="F1566" i="26"/>
  <c r="F1567" i="26"/>
  <c r="F1568" i="26"/>
  <c r="F1569" i="26"/>
  <c r="F1570" i="26"/>
  <c r="F1571" i="26"/>
  <c r="F1572" i="26"/>
  <c r="F1573" i="26"/>
  <c r="F1574" i="26"/>
  <c r="F1575" i="26"/>
  <c r="F1576" i="26"/>
  <c r="F1577" i="26"/>
  <c r="F1578" i="26"/>
  <c r="F1579" i="26"/>
  <c r="F1580" i="26"/>
  <c r="F1581" i="26"/>
  <c r="F1582" i="26"/>
  <c r="F1583" i="26"/>
  <c r="F1584" i="26"/>
  <c r="F1585" i="26"/>
  <c r="F1586" i="26"/>
  <c r="F1587" i="26"/>
  <c r="F1588" i="26"/>
  <c r="F1589" i="26"/>
  <c r="F1590" i="26"/>
  <c r="F1591" i="26"/>
  <c r="F1592" i="26"/>
  <c r="F1593" i="26"/>
  <c r="F1594" i="26"/>
  <c r="F1595" i="26"/>
  <c r="F1596" i="26"/>
  <c r="F1597" i="26"/>
  <c r="F1598" i="26"/>
  <c r="F1599" i="26"/>
  <c r="F1600" i="26"/>
  <c r="F1601" i="26"/>
  <c r="F1602" i="26"/>
  <c r="F1603" i="26"/>
  <c r="F1604" i="26"/>
  <c r="F1605" i="26"/>
  <c r="F1606" i="26"/>
  <c r="F1607" i="26"/>
  <c r="F1608" i="26"/>
  <c r="F1609" i="26"/>
  <c r="F1610" i="26"/>
  <c r="F1611" i="26"/>
  <c r="F1612" i="26"/>
  <c r="F1613" i="26"/>
  <c r="F1614" i="26"/>
  <c r="F1615" i="26"/>
  <c r="F1616" i="26"/>
  <c r="F1617" i="26"/>
  <c r="F1618" i="26"/>
  <c r="F1619" i="26"/>
  <c r="F1620" i="26"/>
  <c r="F1621" i="26"/>
  <c r="F1622" i="26"/>
  <c r="F1623" i="26"/>
  <c r="F1624" i="26"/>
  <c r="F1625" i="26"/>
  <c r="F1626" i="26"/>
  <c r="F1627" i="26"/>
  <c r="F1628" i="26"/>
  <c r="F1629" i="26"/>
  <c r="F1630" i="26"/>
  <c r="F1631" i="26"/>
  <c r="F1632" i="26"/>
  <c r="F1633" i="26"/>
  <c r="F1634" i="26"/>
  <c r="F1635" i="26"/>
  <c r="F1636" i="26"/>
  <c r="F1637" i="26"/>
  <c r="F1638" i="26"/>
  <c r="F1639" i="26"/>
  <c r="F1640" i="26"/>
  <c r="F1641" i="26"/>
  <c r="F1642" i="26"/>
  <c r="F1643" i="26"/>
  <c r="F1644" i="26"/>
  <c r="F1645" i="26"/>
  <c r="F1646" i="26"/>
  <c r="F1647" i="26"/>
  <c r="F1648" i="26"/>
  <c r="F1649" i="26"/>
  <c r="F1650" i="26"/>
  <c r="F1651" i="26"/>
  <c r="F1652" i="26"/>
  <c r="F1653" i="26"/>
  <c r="F1654" i="26"/>
  <c r="F1655" i="26"/>
  <c r="F1656" i="26"/>
  <c r="F1657" i="26"/>
  <c r="F1658" i="26"/>
  <c r="F1659" i="26"/>
  <c r="F1660" i="26"/>
  <c r="F1661" i="26"/>
  <c r="F1662" i="26"/>
  <c r="F1663" i="26"/>
  <c r="F1664" i="26"/>
  <c r="F1665" i="26"/>
  <c r="F1666" i="26"/>
  <c r="F1667" i="26"/>
  <c r="F1668" i="26"/>
  <c r="F1669" i="26"/>
  <c r="F1670" i="26"/>
  <c r="F1671" i="26"/>
  <c r="F1672" i="26"/>
  <c r="F1673" i="26"/>
  <c r="F1674" i="26"/>
  <c r="F1675" i="26"/>
  <c r="F1676" i="26"/>
  <c r="F1677" i="26"/>
  <c r="F1678" i="26"/>
  <c r="F1679" i="26"/>
  <c r="F1680" i="26"/>
  <c r="F1681" i="26"/>
  <c r="F1682" i="26"/>
  <c r="F1683" i="26"/>
  <c r="F1684" i="26"/>
  <c r="F1685" i="26"/>
  <c r="F1686" i="26"/>
  <c r="F1687" i="26"/>
  <c r="F1688" i="26"/>
  <c r="F1689" i="26"/>
  <c r="F1690" i="26"/>
  <c r="F1691" i="26"/>
  <c r="F1692" i="26"/>
  <c r="F1693" i="26"/>
  <c r="F1694" i="26"/>
  <c r="F1695" i="26"/>
  <c r="F1696" i="26"/>
  <c r="F1697" i="26"/>
  <c r="F1698" i="26"/>
  <c r="F1699" i="26"/>
  <c r="F1700" i="26"/>
  <c r="F1701" i="26"/>
  <c r="F1702" i="26"/>
  <c r="F1703" i="26"/>
  <c r="F1704" i="26"/>
  <c r="F1705" i="26"/>
  <c r="F1706" i="26"/>
  <c r="F1707" i="26"/>
  <c r="F1708" i="26"/>
  <c r="F1709" i="26"/>
  <c r="F1710" i="26"/>
  <c r="F1711" i="26"/>
  <c r="F1712" i="26"/>
  <c r="F1713" i="26"/>
  <c r="F1714" i="26"/>
  <c r="F1715" i="26"/>
  <c r="F1716" i="26"/>
  <c r="F1717" i="26"/>
  <c r="F1718" i="26"/>
  <c r="F1719" i="26"/>
  <c r="F1720" i="26"/>
  <c r="F1721" i="26"/>
  <c r="F1722" i="26"/>
  <c r="F1723" i="26"/>
  <c r="F1724" i="26"/>
  <c r="F1725" i="26"/>
  <c r="F1726" i="26"/>
  <c r="F1727" i="26"/>
  <c r="F1728" i="26"/>
  <c r="F1729" i="26"/>
  <c r="F1730" i="26"/>
  <c r="F1731" i="26"/>
  <c r="F1732" i="26"/>
  <c r="F1733" i="26"/>
  <c r="F1734" i="26"/>
  <c r="F1735" i="26"/>
  <c r="F1736" i="26"/>
  <c r="F1737" i="26"/>
  <c r="F1738" i="26"/>
  <c r="F1739" i="26"/>
  <c r="F1740" i="26"/>
  <c r="F1741" i="26"/>
  <c r="F1742" i="26"/>
  <c r="F1743" i="26"/>
  <c r="F1744" i="26"/>
  <c r="F1745" i="26"/>
  <c r="F1746" i="26"/>
  <c r="F1747" i="26"/>
  <c r="F1748" i="26"/>
  <c r="F1749" i="26"/>
  <c r="F1750" i="26"/>
  <c r="F1751" i="26"/>
  <c r="F1752" i="26"/>
  <c r="F1753" i="26"/>
  <c r="F1754" i="26"/>
  <c r="F1755" i="26"/>
  <c r="F1756" i="26"/>
  <c r="F1757" i="26"/>
  <c r="F1758" i="26"/>
  <c r="F1759" i="26"/>
  <c r="F1760" i="26"/>
  <c r="F1761" i="26"/>
  <c r="F1762" i="26"/>
  <c r="F1763" i="26"/>
  <c r="F1764" i="26"/>
  <c r="F1765" i="26"/>
  <c r="F1766" i="26"/>
  <c r="F1767" i="26"/>
  <c r="F1768" i="26"/>
  <c r="F1769" i="26"/>
  <c r="F1770" i="26"/>
  <c r="F1771" i="26"/>
  <c r="F1772" i="26"/>
  <c r="F1773" i="26"/>
  <c r="F1774" i="26"/>
  <c r="F1775" i="26"/>
  <c r="F1776" i="26"/>
  <c r="F1777" i="26"/>
  <c r="F1778" i="26"/>
  <c r="F1779" i="26"/>
  <c r="F1780" i="26"/>
  <c r="F1781" i="26"/>
  <c r="F1782" i="26"/>
  <c r="F1783" i="26"/>
  <c r="F1784" i="26"/>
  <c r="F1785" i="26"/>
  <c r="F1786" i="26"/>
  <c r="F1787" i="26"/>
  <c r="F1788" i="26"/>
  <c r="F1789" i="26"/>
  <c r="C26" i="7"/>
  <c r="B26" i="7"/>
  <c r="C47" i="7"/>
  <c r="B47" i="7"/>
  <c r="C46" i="7"/>
  <c r="B46" i="7"/>
  <c r="C45" i="7"/>
  <c r="B45" i="7"/>
  <c r="C44" i="7"/>
  <c r="B44" i="7"/>
  <c r="C46" i="5"/>
  <c r="B46" i="5"/>
  <c r="C45" i="5"/>
  <c r="B45" i="5"/>
  <c r="C44" i="5"/>
  <c r="B44" i="5"/>
  <c r="C43" i="5"/>
  <c r="B43" i="5"/>
  <c r="C42" i="5"/>
  <c r="B42" i="5"/>
  <c r="D37" i="3" l="1"/>
  <c r="C37" i="3"/>
  <c r="B37" i="3"/>
  <c r="D36" i="3"/>
  <c r="C36" i="3"/>
  <c r="B36" i="3"/>
  <c r="D35" i="3"/>
  <c r="C35" i="3"/>
  <c r="B35" i="3"/>
  <c r="D34" i="3"/>
  <c r="C34" i="3"/>
  <c r="B34" i="3"/>
  <c r="C16" i="7" l="1"/>
  <c r="B16" i="7"/>
  <c r="B24" i="8"/>
  <c r="C24" i="8"/>
  <c r="C44" i="8"/>
  <c r="B44" i="8"/>
  <c r="B38" i="7" l="1"/>
  <c r="B60" i="6"/>
  <c r="B62" i="6"/>
  <c r="B64" i="6"/>
  <c r="B65" i="6"/>
  <c r="B66" i="6"/>
  <c r="B67" i="6"/>
  <c r="I3" i="9"/>
  <c r="I3" i="8"/>
  <c r="D17" i="8" s="1"/>
  <c r="I3" i="7"/>
  <c r="D54" i="7" s="1"/>
  <c r="I2" i="7"/>
  <c r="I3" i="6"/>
  <c r="I2" i="6"/>
  <c r="I3" i="5"/>
  <c r="I2" i="5"/>
  <c r="I3" i="4"/>
  <c r="I2" i="4"/>
  <c r="T9" i="7"/>
  <c r="T8" i="3"/>
  <c r="C5" i="29"/>
  <c r="C6" i="29"/>
  <c r="C7" i="29"/>
  <c r="C8" i="29"/>
  <c r="C9" i="29"/>
  <c r="C10" i="29"/>
  <c r="C11" i="29"/>
  <c r="C12" i="29"/>
  <c r="C13" i="29"/>
  <c r="C14" i="29"/>
  <c r="C15" i="29"/>
  <c r="C16" i="29"/>
  <c r="C17" i="29"/>
  <c r="C18" i="29"/>
  <c r="C19" i="29"/>
  <c r="C20" i="29"/>
  <c r="C21" i="29"/>
  <c r="C22" i="29"/>
  <c r="C23" i="29"/>
  <c r="C24" i="29"/>
  <c r="C25" i="29"/>
  <c r="C26" i="29"/>
  <c r="C27" i="29"/>
  <c r="C28" i="29"/>
  <c r="C29" i="29"/>
  <c r="C30" i="29"/>
  <c r="C31" i="29"/>
  <c r="C32" i="29"/>
  <c r="C33" i="29"/>
  <c r="C34" i="29"/>
  <c r="C35" i="29"/>
  <c r="C36" i="29"/>
  <c r="C37" i="29"/>
  <c r="C38" i="29"/>
  <c r="C39" i="29"/>
  <c r="C40" i="29"/>
  <c r="C41" i="29"/>
  <c r="C42" i="29"/>
  <c r="C43" i="29"/>
  <c r="C44" i="29"/>
  <c r="C45" i="29"/>
  <c r="C46" i="29"/>
  <c r="C47" i="29"/>
  <c r="C48" i="29"/>
  <c r="C49" i="29"/>
  <c r="C50" i="29"/>
  <c r="C51" i="29"/>
  <c r="C52" i="29"/>
  <c r="C53" i="29"/>
  <c r="C54" i="29"/>
  <c r="C55" i="29"/>
  <c r="C56" i="29"/>
  <c r="C57" i="29"/>
  <c r="C58" i="29"/>
  <c r="C59" i="29"/>
  <c r="C60" i="29"/>
  <c r="C61" i="29"/>
  <c r="C62" i="29"/>
  <c r="C63" i="29"/>
  <c r="C64" i="29"/>
  <c r="C65" i="29"/>
  <c r="C66" i="29"/>
  <c r="C67" i="29"/>
  <c r="C68" i="29"/>
  <c r="C69" i="29"/>
  <c r="C70" i="29"/>
  <c r="C71" i="29"/>
  <c r="C72" i="29"/>
  <c r="C73" i="29"/>
  <c r="C74" i="29"/>
  <c r="C75" i="29"/>
  <c r="C76" i="29"/>
  <c r="C77" i="29"/>
  <c r="C78" i="29"/>
  <c r="C79" i="29"/>
  <c r="C80" i="29"/>
  <c r="C81" i="29"/>
  <c r="C82" i="29"/>
  <c r="C83" i="29"/>
  <c r="C84" i="29"/>
  <c r="C85" i="29"/>
  <c r="C86" i="29"/>
  <c r="C87" i="29"/>
  <c r="C88" i="29"/>
  <c r="C89" i="29"/>
  <c r="C90" i="29"/>
  <c r="C91" i="29"/>
  <c r="C92" i="29"/>
  <c r="C93" i="29"/>
  <c r="C94" i="29"/>
  <c r="C95" i="29"/>
  <c r="C96" i="29"/>
  <c r="C97" i="29"/>
  <c r="C98" i="29"/>
  <c r="C99" i="29"/>
  <c r="C100" i="29"/>
  <c r="C101" i="29"/>
  <c r="C102" i="29"/>
  <c r="C103" i="29"/>
  <c r="C104" i="29"/>
  <c r="C105" i="29"/>
  <c r="C106" i="29"/>
  <c r="C107" i="29"/>
  <c r="C108" i="29"/>
  <c r="C109" i="29"/>
  <c r="C110" i="29"/>
  <c r="C111" i="29"/>
  <c r="C112" i="29"/>
  <c r="C113" i="29"/>
  <c r="C114" i="29"/>
  <c r="C115" i="29"/>
  <c r="C116" i="29"/>
  <c r="C117" i="29"/>
  <c r="C118" i="29"/>
  <c r="C119" i="29"/>
  <c r="C120" i="29"/>
  <c r="C121" i="29"/>
  <c r="C122" i="29"/>
  <c r="C123" i="29"/>
  <c r="C124" i="29"/>
  <c r="C125" i="29"/>
  <c r="C126" i="29"/>
  <c r="C127" i="29"/>
  <c r="C128" i="29"/>
  <c r="C129" i="29"/>
  <c r="C130" i="29"/>
  <c r="C131" i="29"/>
  <c r="C132" i="29"/>
  <c r="C133" i="29"/>
  <c r="C134" i="29"/>
  <c r="C135" i="29"/>
  <c r="C136" i="29"/>
  <c r="C137" i="29"/>
  <c r="C138" i="29"/>
  <c r="C139" i="29"/>
  <c r="C140" i="29"/>
  <c r="C141" i="29"/>
  <c r="C142" i="29"/>
  <c r="C143" i="29"/>
  <c r="C144" i="29"/>
  <c r="C145" i="29"/>
  <c r="C146" i="29"/>
  <c r="C147" i="29"/>
  <c r="C148" i="29"/>
  <c r="C149" i="29"/>
  <c r="C150" i="29"/>
  <c r="C151" i="29"/>
  <c r="C152" i="29"/>
  <c r="C153" i="29"/>
  <c r="C154" i="29"/>
  <c r="C155" i="29"/>
  <c r="C156" i="29"/>
  <c r="C157" i="29"/>
  <c r="C158" i="29"/>
  <c r="C159" i="29"/>
  <c r="C160" i="29"/>
  <c r="C161" i="29"/>
  <c r="C162" i="29"/>
  <c r="C163" i="29"/>
  <c r="C164" i="29"/>
  <c r="C165" i="29"/>
  <c r="C166" i="29"/>
  <c r="C167" i="29"/>
  <c r="C168" i="29"/>
  <c r="C169" i="29"/>
  <c r="C170" i="29"/>
  <c r="C171" i="29"/>
  <c r="C172" i="29"/>
  <c r="C173" i="29"/>
  <c r="C174" i="29"/>
  <c r="C175" i="29"/>
  <c r="C176" i="29"/>
  <c r="C177" i="29"/>
  <c r="C178" i="29"/>
  <c r="C179" i="29"/>
  <c r="C180" i="29"/>
  <c r="C181" i="29"/>
  <c r="C182" i="29"/>
  <c r="C183" i="29"/>
  <c r="C184" i="29"/>
  <c r="C185" i="29"/>
  <c r="C186" i="29"/>
  <c r="C187" i="29"/>
  <c r="C188" i="29"/>
  <c r="C189" i="29"/>
  <c r="C190" i="29"/>
  <c r="C191" i="29"/>
  <c r="C192" i="29"/>
  <c r="C193" i="29"/>
  <c r="C194" i="29"/>
  <c r="C195" i="29"/>
  <c r="C196" i="29"/>
  <c r="C197" i="29"/>
  <c r="C198" i="29"/>
  <c r="C199" i="29"/>
  <c r="C200" i="29"/>
  <c r="C201" i="29"/>
  <c r="C202" i="29"/>
  <c r="C203" i="29"/>
  <c r="C204" i="29"/>
  <c r="C205" i="29"/>
  <c r="C206" i="29"/>
  <c r="C207" i="29"/>
  <c r="C208" i="29"/>
  <c r="C4" i="29"/>
  <c r="A207" i="29"/>
  <c r="A208" i="29"/>
  <c r="J208" i="29" s="1"/>
  <c r="B5" i="29"/>
  <c r="B6" i="29"/>
  <c r="B7" i="29"/>
  <c r="B8" i="29"/>
  <c r="B9" i="29"/>
  <c r="B10" i="29"/>
  <c r="B11" i="29"/>
  <c r="B12" i="29"/>
  <c r="B13" i="29"/>
  <c r="B14" i="29"/>
  <c r="B15" i="29"/>
  <c r="B16" i="29"/>
  <c r="B17" i="29"/>
  <c r="B18" i="29"/>
  <c r="B19" i="29"/>
  <c r="B20" i="29"/>
  <c r="B21" i="29"/>
  <c r="B22" i="29"/>
  <c r="B23" i="29"/>
  <c r="B24" i="29"/>
  <c r="B25" i="29"/>
  <c r="B26" i="29"/>
  <c r="B27" i="29"/>
  <c r="B28" i="29"/>
  <c r="B29" i="29"/>
  <c r="B30" i="29"/>
  <c r="B31" i="29"/>
  <c r="B32" i="29"/>
  <c r="B33" i="29"/>
  <c r="B34" i="29"/>
  <c r="B35" i="29"/>
  <c r="B36" i="29"/>
  <c r="B37" i="29"/>
  <c r="B38" i="29"/>
  <c r="B39" i="29"/>
  <c r="B40" i="29"/>
  <c r="B41" i="29"/>
  <c r="B42" i="29"/>
  <c r="B43" i="29"/>
  <c r="B44" i="29"/>
  <c r="B45" i="29"/>
  <c r="B46" i="29"/>
  <c r="B47" i="29"/>
  <c r="B48" i="29"/>
  <c r="B49" i="29"/>
  <c r="B50" i="29"/>
  <c r="B51" i="29"/>
  <c r="B52" i="29"/>
  <c r="B53" i="29"/>
  <c r="B54" i="29"/>
  <c r="B55" i="29"/>
  <c r="B56" i="29"/>
  <c r="B57" i="29"/>
  <c r="B58" i="29"/>
  <c r="B59" i="29"/>
  <c r="B60" i="29"/>
  <c r="B61" i="29"/>
  <c r="B62" i="29"/>
  <c r="B63" i="29"/>
  <c r="B64" i="29"/>
  <c r="B65" i="29"/>
  <c r="B66" i="29"/>
  <c r="B67" i="29"/>
  <c r="B68" i="29"/>
  <c r="B69" i="29"/>
  <c r="B70" i="29"/>
  <c r="B71" i="29"/>
  <c r="B72" i="29"/>
  <c r="B73" i="29"/>
  <c r="B74" i="29"/>
  <c r="B75" i="29"/>
  <c r="B76" i="29"/>
  <c r="B77" i="29"/>
  <c r="B78" i="29"/>
  <c r="B79" i="29"/>
  <c r="B80" i="29"/>
  <c r="B81" i="29"/>
  <c r="B82" i="29"/>
  <c r="B83" i="29"/>
  <c r="B84" i="29"/>
  <c r="B85" i="29"/>
  <c r="B86" i="29"/>
  <c r="B87" i="29"/>
  <c r="B88" i="29"/>
  <c r="B89" i="29"/>
  <c r="B90" i="29"/>
  <c r="B91" i="29"/>
  <c r="B92" i="29"/>
  <c r="B93" i="29"/>
  <c r="B94" i="29"/>
  <c r="B95" i="29"/>
  <c r="B96" i="29"/>
  <c r="B97" i="29"/>
  <c r="B98" i="29"/>
  <c r="B99" i="29"/>
  <c r="B100" i="29"/>
  <c r="B101" i="29"/>
  <c r="B102" i="29"/>
  <c r="B103" i="29"/>
  <c r="B104" i="29"/>
  <c r="B105" i="29"/>
  <c r="B106" i="29"/>
  <c r="B107" i="29"/>
  <c r="B108" i="29"/>
  <c r="B109" i="29"/>
  <c r="B110" i="29"/>
  <c r="B111" i="29"/>
  <c r="B112" i="29"/>
  <c r="B113" i="29"/>
  <c r="B114" i="29"/>
  <c r="B115" i="29"/>
  <c r="B116" i="29"/>
  <c r="B117" i="29"/>
  <c r="B118" i="29"/>
  <c r="B119" i="29"/>
  <c r="B120" i="29"/>
  <c r="B121" i="29"/>
  <c r="B122" i="29"/>
  <c r="B123" i="29"/>
  <c r="B124" i="29"/>
  <c r="B125" i="29"/>
  <c r="B126" i="29"/>
  <c r="B127" i="29"/>
  <c r="B128" i="29"/>
  <c r="B129" i="29"/>
  <c r="B130" i="29"/>
  <c r="B131" i="29"/>
  <c r="B132" i="29"/>
  <c r="B133" i="29"/>
  <c r="B134" i="29"/>
  <c r="B135" i="29"/>
  <c r="B136" i="29"/>
  <c r="B137" i="29"/>
  <c r="B138" i="29"/>
  <c r="B139" i="29"/>
  <c r="B140" i="29"/>
  <c r="B141" i="29"/>
  <c r="B142" i="29"/>
  <c r="B143" i="29"/>
  <c r="B144" i="29"/>
  <c r="B145" i="29"/>
  <c r="B146" i="29"/>
  <c r="B147" i="29"/>
  <c r="B148" i="29"/>
  <c r="B149" i="29"/>
  <c r="B150" i="29"/>
  <c r="B151" i="29"/>
  <c r="B152" i="29"/>
  <c r="B153" i="29"/>
  <c r="B154" i="29"/>
  <c r="B155" i="29"/>
  <c r="B156" i="29"/>
  <c r="B157" i="29"/>
  <c r="B158" i="29"/>
  <c r="B159" i="29"/>
  <c r="B160" i="29"/>
  <c r="B161" i="29"/>
  <c r="B162" i="29"/>
  <c r="B163" i="29"/>
  <c r="B164" i="29"/>
  <c r="B165" i="29"/>
  <c r="B166" i="29"/>
  <c r="B167" i="29"/>
  <c r="B168" i="29"/>
  <c r="B169" i="29"/>
  <c r="B170" i="29"/>
  <c r="B171" i="29"/>
  <c r="B172" i="29"/>
  <c r="B173" i="29"/>
  <c r="B174" i="29"/>
  <c r="B175" i="29"/>
  <c r="B176" i="29"/>
  <c r="B177" i="29"/>
  <c r="B178" i="29"/>
  <c r="B179" i="29"/>
  <c r="B180" i="29"/>
  <c r="B181" i="29"/>
  <c r="B182" i="29"/>
  <c r="B183" i="29"/>
  <c r="B184" i="29"/>
  <c r="B185" i="29"/>
  <c r="B186" i="29"/>
  <c r="B187" i="29"/>
  <c r="B188" i="29"/>
  <c r="B189" i="29"/>
  <c r="B190" i="29"/>
  <c r="B191" i="29"/>
  <c r="B192" i="29"/>
  <c r="B193" i="29"/>
  <c r="B194" i="29"/>
  <c r="B195" i="29"/>
  <c r="B196" i="29"/>
  <c r="B197" i="29"/>
  <c r="B198" i="29"/>
  <c r="B199" i="29"/>
  <c r="B200" i="29"/>
  <c r="B201" i="29"/>
  <c r="B202" i="29"/>
  <c r="B203" i="29"/>
  <c r="B204" i="29"/>
  <c r="B205" i="29"/>
  <c r="B206" i="29"/>
  <c r="B207" i="29"/>
  <c r="B208" i="29"/>
  <c r="B4" i="29"/>
  <c r="C28" i="7"/>
  <c r="B28" i="7"/>
  <c r="C18" i="8"/>
  <c r="B18" i="8"/>
  <c r="C17" i="8"/>
  <c r="B17" i="8"/>
  <c r="C55" i="7"/>
  <c r="B55" i="7"/>
  <c r="C54" i="7"/>
  <c r="B54" i="7"/>
  <c r="D34" i="8" l="1"/>
  <c r="D45" i="9"/>
  <c r="D44" i="9"/>
  <c r="D43" i="9"/>
  <c r="D42" i="9"/>
  <c r="D51" i="8"/>
  <c r="D35" i="8"/>
  <c r="D36" i="7"/>
  <c r="D34" i="7"/>
  <c r="D33" i="7"/>
  <c r="D61" i="6"/>
  <c r="D35" i="5"/>
  <c r="D34" i="5"/>
  <c r="D54" i="4"/>
  <c r="D53" i="4"/>
  <c r="D52" i="4"/>
  <c r="D19" i="5"/>
  <c r="D18" i="5"/>
  <c r="D17" i="5"/>
  <c r="G208" i="29"/>
  <c r="D50" i="5"/>
  <c r="D18" i="8"/>
  <c r="D55" i="8"/>
  <c r="D54" i="8"/>
  <c r="D53" i="7"/>
  <c r="D52" i="7"/>
  <c r="D51" i="7"/>
  <c r="D48" i="9"/>
  <c r="D47" i="9"/>
  <c r="D46" i="9"/>
  <c r="D41" i="9"/>
  <c r="D63" i="6"/>
  <c r="T9" i="4"/>
  <c r="D51" i="4"/>
  <c r="T9" i="6"/>
  <c r="D16" i="6"/>
  <c r="D28" i="7"/>
  <c r="D26" i="7"/>
  <c r="D47" i="7"/>
  <c r="D46" i="7"/>
  <c r="D45" i="7"/>
  <c r="D44" i="7"/>
  <c r="T9" i="5"/>
  <c r="D46" i="5"/>
  <c r="D45" i="5"/>
  <c r="D44" i="5"/>
  <c r="D43" i="5"/>
  <c r="D42" i="5"/>
  <c r="T8" i="4"/>
  <c r="D55" i="7"/>
  <c r="D16" i="7"/>
  <c r="D44" i="8"/>
  <c r="D24" i="8"/>
  <c r="T8" i="5"/>
  <c r="T8" i="7"/>
  <c r="T8" i="6"/>
  <c r="D207" i="29"/>
  <c r="K207" i="29"/>
  <c r="L207" i="29" s="1"/>
  <c r="F207" i="29"/>
  <c r="G207" i="29"/>
  <c r="I207" i="29"/>
  <c r="E207" i="29"/>
  <c r="H207" i="29"/>
  <c r="J207" i="29"/>
  <c r="F208" i="29"/>
  <c r="E208" i="29"/>
  <c r="D208" i="29"/>
  <c r="K208" i="29"/>
  <c r="L208" i="29" s="1"/>
  <c r="I208" i="29"/>
  <c r="H208" i="29"/>
  <c r="D66" i="6"/>
  <c r="D65" i="6"/>
  <c r="C65" i="6"/>
  <c r="D16" i="9"/>
  <c r="C16" i="9"/>
  <c r="B16" i="9"/>
  <c r="D16" i="3"/>
  <c r="C16" i="3"/>
  <c r="B16" i="3"/>
  <c r="B30" i="3" l="1"/>
  <c r="C30" i="3"/>
  <c r="D30" i="3"/>
  <c r="D38" i="3"/>
  <c r="C38" i="3"/>
  <c r="B38" i="3"/>
  <c r="D33" i="3"/>
  <c r="C33" i="3"/>
  <c r="B33" i="3"/>
  <c r="D36" i="8" l="1"/>
  <c r="C36" i="8"/>
  <c r="B36" i="8"/>
  <c r="D33" i="8"/>
  <c r="C33" i="8"/>
  <c r="B33" i="8"/>
  <c r="D32" i="8"/>
  <c r="C32" i="8"/>
  <c r="B32" i="8"/>
  <c r="D57" i="3" l="1"/>
  <c r="C57" i="3"/>
  <c r="B57" i="3"/>
  <c r="D56" i="3"/>
  <c r="C56" i="3"/>
  <c r="B56" i="3"/>
  <c r="D55" i="3"/>
  <c r="C55" i="3"/>
  <c r="B55" i="3"/>
  <c r="D38" i="7"/>
  <c r="C38" i="7"/>
  <c r="D37" i="7"/>
  <c r="C37" i="7"/>
  <c r="B37" i="7"/>
  <c r="D35" i="7"/>
  <c r="C35" i="7"/>
  <c r="B35" i="7"/>
  <c r="D32" i="7"/>
  <c r="C32" i="7"/>
  <c r="B32" i="7"/>
  <c r="D31" i="7"/>
  <c r="C31" i="7"/>
  <c r="B31" i="7"/>
  <c r="B30" i="7" l="1"/>
  <c r="C30" i="7"/>
  <c r="D30" i="7"/>
  <c r="D56" i="4"/>
  <c r="C56" i="4"/>
  <c r="B56" i="4"/>
  <c r="D55" i="4"/>
  <c r="C55" i="4"/>
  <c r="B55" i="4"/>
  <c r="D50" i="4"/>
  <c r="C50" i="4"/>
  <c r="B50" i="4"/>
  <c r="D49" i="4"/>
  <c r="C49" i="4"/>
  <c r="B49" i="4"/>
  <c r="D60" i="6"/>
  <c r="C60" i="6"/>
  <c r="D59" i="6"/>
  <c r="C59" i="6"/>
  <c r="B59" i="6"/>
  <c r="D58" i="6"/>
  <c r="C58" i="6"/>
  <c r="B58" i="6"/>
  <c r="D57" i="6"/>
  <c r="C57" i="6"/>
  <c r="B57" i="6"/>
  <c r="D56" i="5"/>
  <c r="C56" i="5"/>
  <c r="B56" i="5"/>
  <c r="D55" i="5"/>
  <c r="C55" i="5"/>
  <c r="B55" i="5"/>
  <c r="D16" i="5"/>
  <c r="C16" i="5"/>
  <c r="B16" i="5"/>
  <c r="D15" i="5"/>
  <c r="C15" i="5"/>
  <c r="B15" i="5"/>
  <c r="D53" i="8" l="1"/>
  <c r="C53" i="8"/>
  <c r="B53" i="8"/>
  <c r="D52" i="8"/>
  <c r="C52" i="8"/>
  <c r="B52" i="8"/>
  <c r="D50" i="8"/>
  <c r="C50" i="8"/>
  <c r="B50" i="8"/>
  <c r="D49" i="8"/>
  <c r="C49" i="8"/>
  <c r="B49" i="8"/>
  <c r="B46" i="8" l="1"/>
  <c r="C46" i="8"/>
  <c r="D46" i="8"/>
  <c r="D50" i="7" l="1"/>
  <c r="C50" i="7"/>
  <c r="B50" i="7"/>
  <c r="D49" i="7"/>
  <c r="C49" i="7"/>
  <c r="B49" i="7"/>
  <c r="D48" i="7"/>
  <c r="C48" i="7"/>
  <c r="B48" i="7"/>
  <c r="D26" i="5"/>
  <c r="C26" i="5"/>
  <c r="B26" i="5"/>
  <c r="D29" i="3" l="1"/>
  <c r="C29" i="3"/>
  <c r="B29" i="3"/>
  <c r="D37" i="8" l="1"/>
  <c r="C37" i="8"/>
  <c r="B37" i="8"/>
  <c r="D28" i="4"/>
  <c r="C28" i="4"/>
  <c r="B28" i="4"/>
  <c r="D27" i="4"/>
  <c r="C27" i="4"/>
  <c r="B27" i="4"/>
  <c r="D18" i="4"/>
  <c r="C18" i="4"/>
  <c r="B18" i="4"/>
  <c r="D17" i="4"/>
  <c r="C17" i="4"/>
  <c r="B17" i="4"/>
  <c r="D38" i="8" l="1"/>
  <c r="C38" i="8"/>
  <c r="B38" i="8"/>
  <c r="D31" i="8"/>
  <c r="C31" i="8"/>
  <c r="B31" i="8"/>
  <c r="D62" i="6" l="1"/>
  <c r="C62" i="6"/>
  <c r="D28" i="3" l="1"/>
  <c r="C28" i="3"/>
  <c r="B28" i="3"/>
  <c r="B39" i="3"/>
  <c r="C39" i="3"/>
  <c r="D39" i="3"/>
  <c r="D22" i="8" l="1"/>
  <c r="D42" i="4" l="1"/>
  <c r="D43" i="4"/>
  <c r="D44" i="4"/>
  <c r="D45" i="4"/>
  <c r="D46" i="4"/>
  <c r="D47" i="4"/>
  <c r="D48" i="4"/>
  <c r="D41" i="5"/>
  <c r="D47" i="5"/>
  <c r="D48" i="5"/>
  <c r="D49" i="5"/>
  <c r="D51" i="5"/>
  <c r="D52" i="5"/>
  <c r="D53" i="5"/>
  <c r="D54" i="5"/>
  <c r="D57" i="5"/>
  <c r="D58" i="5"/>
  <c r="D59" i="5"/>
  <c r="B39" i="9"/>
  <c r="C39" i="9"/>
  <c r="D39" i="9"/>
  <c r="C42" i="4"/>
  <c r="B42" i="4"/>
  <c r="C48" i="5" l="1"/>
  <c r="B48" i="5"/>
  <c r="D29" i="9"/>
  <c r="C29" i="9"/>
  <c r="B29" i="9"/>
  <c r="D28" i="9"/>
  <c r="C28" i="9"/>
  <c r="B28" i="9"/>
  <c r="D27" i="9"/>
  <c r="C27" i="9"/>
  <c r="B27" i="9"/>
  <c r="D26" i="9"/>
  <c r="C26" i="9"/>
  <c r="B26" i="9"/>
  <c r="C48" i="4"/>
  <c r="B48" i="4"/>
  <c r="C47" i="4"/>
  <c r="B47" i="4"/>
  <c r="C46" i="4"/>
  <c r="B46" i="4"/>
  <c r="C45" i="4"/>
  <c r="B45" i="4"/>
  <c r="D27" i="7"/>
  <c r="C27" i="7"/>
  <c r="B27" i="7"/>
  <c r="D23" i="3"/>
  <c r="C23" i="3"/>
  <c r="B23" i="3"/>
  <c r="D30" i="8" l="1"/>
  <c r="C30" i="8"/>
  <c r="B30" i="8"/>
  <c r="B17" i="6" l="1"/>
  <c r="C17" i="6"/>
  <c r="D17" i="6"/>
  <c r="D25" i="5"/>
  <c r="C25" i="5"/>
  <c r="B25" i="5"/>
  <c r="F5" i="26" l="1"/>
  <c r="K119" i="11" l="1"/>
  <c r="J119" i="11"/>
  <c r="I119" i="11"/>
  <c r="H119" i="11"/>
  <c r="A119" i="11"/>
  <c r="K69" i="11"/>
  <c r="J69" i="11"/>
  <c r="I69" i="11"/>
  <c r="H69" i="11"/>
  <c r="K154" i="11"/>
  <c r="J153" i="11"/>
  <c r="I153" i="11"/>
  <c r="H152" i="11"/>
  <c r="K152" i="11"/>
  <c r="J152" i="11"/>
  <c r="I152" i="11"/>
  <c r="A152" i="11"/>
  <c r="K73" i="11"/>
  <c r="J73" i="11"/>
  <c r="I73" i="11"/>
  <c r="H73" i="11"/>
  <c r="A73" i="11"/>
  <c r="A74" i="29" s="1"/>
  <c r="A69" i="11"/>
  <c r="A70" i="29" s="1"/>
  <c r="D27" i="8"/>
  <c r="C27" i="8"/>
  <c r="B27" i="8"/>
  <c r="D16" i="4"/>
  <c r="C16" i="4"/>
  <c r="B16" i="4"/>
  <c r="M152" i="11" l="1"/>
  <c r="A151" i="29"/>
  <c r="M119" i="11"/>
  <c r="A120" i="29"/>
  <c r="M69" i="11"/>
  <c r="M73" i="11"/>
  <c r="D38" i="9" l="1"/>
  <c r="C38" i="9"/>
  <c r="B38" i="9"/>
  <c r="C58" i="5" l="1"/>
  <c r="B58" i="5"/>
  <c r="C57" i="5"/>
  <c r="B57" i="5"/>
  <c r="C54" i="5"/>
  <c r="B54" i="5"/>
  <c r="D25" i="7" l="1"/>
  <c r="C25" i="7"/>
  <c r="B25" i="7"/>
  <c r="D24" i="7"/>
  <c r="C24" i="7"/>
  <c r="B24" i="7"/>
  <c r="D23" i="7"/>
  <c r="C23" i="7"/>
  <c r="B23" i="7"/>
  <c r="D22" i="7"/>
  <c r="C22" i="7"/>
  <c r="B22" i="7"/>
  <c r="B8" i="8" l="1"/>
  <c r="D26" i="8" l="1"/>
  <c r="C26" i="8"/>
  <c r="B26" i="8"/>
  <c r="D25" i="8"/>
  <c r="C25" i="8"/>
  <c r="B25" i="8"/>
  <c r="D16" i="8" l="1"/>
  <c r="C16" i="8"/>
  <c r="B16" i="8"/>
  <c r="B22" i="9" l="1"/>
  <c r="C22" i="9"/>
  <c r="D22" i="9"/>
  <c r="B23" i="9"/>
  <c r="C23" i="9"/>
  <c r="D23" i="9"/>
  <c r="B24" i="9"/>
  <c r="C24" i="9"/>
  <c r="D24" i="9"/>
  <c r="B35" i="9"/>
  <c r="C35" i="9"/>
  <c r="D35" i="9"/>
  <c r="D48" i="3" l="1"/>
  <c r="C48" i="3"/>
  <c r="B48" i="3"/>
  <c r="D47" i="3"/>
  <c r="C47" i="3"/>
  <c r="B47" i="3"/>
  <c r="D46" i="3"/>
  <c r="C46" i="3"/>
  <c r="B46" i="3"/>
  <c r="D44" i="3"/>
  <c r="C44" i="3"/>
  <c r="B44" i="3"/>
  <c r="D40" i="9"/>
  <c r="C40" i="9"/>
  <c r="B40" i="9"/>
  <c r="D64" i="6"/>
  <c r="K97" i="11" l="1"/>
  <c r="J97" i="11"/>
  <c r="I97" i="11"/>
  <c r="H97" i="11"/>
  <c r="A97" i="11"/>
  <c r="A98" i="29" s="1"/>
  <c r="M97" i="11" l="1"/>
  <c r="C47" i="5" l="1"/>
  <c r="B47" i="5"/>
  <c r="D54" i="3" l="1"/>
  <c r="C54" i="3"/>
  <c r="B54" i="3"/>
  <c r="D48" i="8" l="1"/>
  <c r="C48" i="8"/>
  <c r="B48" i="8"/>
  <c r="D47" i="8"/>
  <c r="C47" i="8"/>
  <c r="B47" i="8"/>
  <c r="D29" i="5" l="1"/>
  <c r="C29" i="5"/>
  <c r="B29" i="5"/>
  <c r="D28" i="5"/>
  <c r="C28" i="5"/>
  <c r="B28" i="5"/>
  <c r="D27" i="5"/>
  <c r="C27" i="5"/>
  <c r="B27" i="5"/>
  <c r="D29" i="8"/>
  <c r="C29" i="8"/>
  <c r="B29" i="8"/>
  <c r="D37" i="9"/>
  <c r="C37" i="9"/>
  <c r="B37" i="9"/>
  <c r="D36" i="9"/>
  <c r="C36" i="9"/>
  <c r="B36" i="9"/>
  <c r="D36" i="5" l="1"/>
  <c r="C36" i="5"/>
  <c r="B36" i="5"/>
  <c r="D33" i="5"/>
  <c r="C33" i="5"/>
  <c r="B33" i="5"/>
  <c r="C44" i="4"/>
  <c r="B44" i="4"/>
  <c r="C43" i="4"/>
  <c r="B43" i="4"/>
  <c r="D25" i="3"/>
  <c r="C25" i="3"/>
  <c r="B25" i="3"/>
  <c r="D24" i="3"/>
  <c r="C24" i="3"/>
  <c r="B24" i="3"/>
  <c r="D22" i="3"/>
  <c r="C22" i="3"/>
  <c r="B22" i="3"/>
  <c r="P9" i="9"/>
  <c r="P9" i="8"/>
  <c r="P9" i="7"/>
  <c r="P8" i="7"/>
  <c r="P9" i="6"/>
  <c r="P8" i="6"/>
  <c r="P9" i="5"/>
  <c r="P8" i="5"/>
  <c r="P8" i="4"/>
  <c r="B45" i="8"/>
  <c r="C45" i="8"/>
  <c r="D45" i="8"/>
  <c r="B56" i="8"/>
  <c r="C56" i="8"/>
  <c r="D56" i="8"/>
  <c r="D25" i="9" l="1"/>
  <c r="C25" i="9"/>
  <c r="B25" i="9"/>
  <c r="D32" i="5"/>
  <c r="C32" i="5"/>
  <c r="B32" i="5"/>
  <c r="D31" i="5"/>
  <c r="C31" i="5"/>
  <c r="B31" i="5"/>
  <c r="D26" i="3" l="1"/>
  <c r="C26" i="3"/>
  <c r="B26" i="3"/>
  <c r="K4" i="11"/>
  <c r="J4" i="11"/>
  <c r="I4" i="11"/>
  <c r="H4" i="11"/>
  <c r="A4" i="11"/>
  <c r="M4" i="11" l="1"/>
  <c r="A6" i="29"/>
  <c r="D30" i="5"/>
  <c r="C30" i="5"/>
  <c r="B30" i="5"/>
  <c r="B8" i="6" l="1"/>
  <c r="D29" i="7" l="1"/>
  <c r="C29" i="7"/>
  <c r="B29" i="7"/>
  <c r="B4" i="9" l="1"/>
  <c r="D34" i="4" l="1"/>
  <c r="C34" i="4"/>
  <c r="B34" i="4"/>
  <c r="D33" i="4"/>
  <c r="C33" i="4"/>
  <c r="B33" i="4"/>
  <c r="C53" i="5" l="1"/>
  <c r="B53" i="5"/>
  <c r="K199" i="11" l="1"/>
  <c r="J199" i="11"/>
  <c r="I199" i="11"/>
  <c r="H199" i="11"/>
  <c r="A199" i="11"/>
  <c r="M199" i="11" l="1"/>
  <c r="A198" i="29"/>
  <c r="K3" i="11"/>
  <c r="J3" i="11"/>
  <c r="I3" i="11"/>
  <c r="H3" i="11"/>
  <c r="A3" i="11"/>
  <c r="A5" i="29" s="1"/>
  <c r="B52" i="5"/>
  <c r="C52" i="5"/>
  <c r="M3" i="11" l="1"/>
  <c r="H43" i="9" l="1"/>
  <c r="H51" i="3"/>
  <c r="H33" i="7"/>
  <c r="H18" i="5"/>
  <c r="H54" i="8"/>
  <c r="H52" i="7"/>
  <c r="H37" i="3"/>
  <c r="H55" i="7"/>
  <c r="H37" i="7"/>
  <c r="D28" i="8"/>
  <c r="C28" i="8"/>
  <c r="B28" i="8"/>
  <c r="F945" i="26" l="1"/>
  <c r="F946" i="26"/>
  <c r="F947" i="26"/>
  <c r="F948" i="26"/>
  <c r="F949" i="26"/>
  <c r="F950" i="26"/>
  <c r="F951" i="26"/>
  <c r="F952" i="26"/>
  <c r="F953" i="26"/>
  <c r="F954" i="26"/>
  <c r="F955" i="26"/>
  <c r="F956" i="26"/>
  <c r="F957" i="26"/>
  <c r="F958" i="26"/>
  <c r="F959" i="26"/>
  <c r="F960" i="26"/>
  <c r="F961" i="26"/>
  <c r="F962" i="26"/>
  <c r="F963" i="26"/>
  <c r="F964" i="26"/>
  <c r="F965" i="26"/>
  <c r="F966" i="26"/>
  <c r="F967" i="26"/>
  <c r="F968" i="26"/>
  <c r="F969" i="26"/>
  <c r="F970" i="26"/>
  <c r="F971" i="26"/>
  <c r="F972" i="26"/>
  <c r="F973" i="26"/>
  <c r="F974" i="26"/>
  <c r="F975" i="26"/>
  <c r="F976" i="26"/>
  <c r="F977" i="26"/>
  <c r="F978" i="26"/>
  <c r="F979" i="26"/>
  <c r="F980" i="26"/>
  <c r="F981" i="26"/>
  <c r="F982" i="26"/>
  <c r="F983" i="26"/>
  <c r="F984" i="26"/>
  <c r="F985" i="26"/>
  <c r="F986" i="26"/>
  <c r="F987" i="26"/>
  <c r="F988" i="26"/>
  <c r="F989" i="26"/>
  <c r="F990" i="26"/>
  <c r="F991" i="26"/>
  <c r="F992" i="26"/>
  <c r="F993" i="26"/>
  <c r="F994" i="26"/>
  <c r="F995" i="26"/>
  <c r="F996" i="26"/>
  <c r="F997" i="26"/>
  <c r="F998" i="26"/>
  <c r="F999" i="26"/>
  <c r="F1000" i="26"/>
  <c r="F1001" i="26"/>
  <c r="F1002" i="26"/>
  <c r="F1003" i="26"/>
  <c r="F1004" i="26"/>
  <c r="F1005" i="26"/>
  <c r="F1006" i="26"/>
  <c r="F1007" i="26"/>
  <c r="F1008" i="26"/>
  <c r="F1009" i="26"/>
  <c r="F1010" i="26"/>
  <c r="F1011" i="26"/>
  <c r="F1012" i="26"/>
  <c r="F1013" i="26"/>
  <c r="F1014" i="26"/>
  <c r="F1015" i="26"/>
  <c r="F1016" i="26"/>
  <c r="F1017" i="26"/>
  <c r="F1018" i="26"/>
  <c r="F1019" i="26"/>
  <c r="F1020" i="26"/>
  <c r="F1021" i="26"/>
  <c r="F1022" i="26"/>
  <c r="F1023" i="26"/>
  <c r="F1024" i="26"/>
  <c r="F1025" i="26"/>
  <c r="F1026" i="26"/>
  <c r="F1027" i="26"/>
  <c r="F1028" i="26"/>
  <c r="F1029" i="26"/>
  <c r="F1030" i="26"/>
  <c r="F1031" i="26"/>
  <c r="F1032" i="26"/>
  <c r="F1033" i="26"/>
  <c r="F1034" i="26"/>
  <c r="F1035" i="26"/>
  <c r="F1036" i="26"/>
  <c r="F1037" i="26"/>
  <c r="F1038" i="26"/>
  <c r="F1039" i="26"/>
  <c r="F1040" i="26"/>
  <c r="F1041" i="26"/>
  <c r="F1042" i="26"/>
  <c r="F1043" i="26"/>
  <c r="F1044" i="26"/>
  <c r="F1045" i="26"/>
  <c r="F1046" i="26"/>
  <c r="F1047" i="26"/>
  <c r="F1048" i="26"/>
  <c r="F1049" i="26"/>
  <c r="F1050" i="26"/>
  <c r="F1051" i="26"/>
  <c r="F1052" i="26"/>
  <c r="F1053" i="26"/>
  <c r="F1054" i="26"/>
  <c r="F1055" i="26"/>
  <c r="F1056" i="26"/>
  <c r="F1057" i="26"/>
  <c r="F1058" i="26"/>
  <c r="F1059" i="26"/>
  <c r="F1060" i="26"/>
  <c r="F1061" i="26"/>
  <c r="F1062" i="26"/>
  <c r="F1063" i="26"/>
  <c r="F1064" i="26"/>
  <c r="F1065" i="26"/>
  <c r="F1066" i="26"/>
  <c r="F1067" i="26"/>
  <c r="F1068" i="26"/>
  <c r="F1069" i="26"/>
  <c r="F1070" i="26"/>
  <c r="F1071" i="26"/>
  <c r="F1072" i="26"/>
  <c r="F1073" i="26"/>
  <c r="F1074" i="26"/>
  <c r="F1075" i="26"/>
  <c r="F1076" i="26"/>
  <c r="F1077" i="26"/>
  <c r="F1078" i="26"/>
  <c r="F1079" i="26"/>
  <c r="F1080" i="26"/>
  <c r="F1081" i="26"/>
  <c r="F1082" i="26"/>
  <c r="F1083" i="26"/>
  <c r="F1084" i="26"/>
  <c r="F1085" i="26"/>
  <c r="F1086" i="26"/>
  <c r="F1087" i="26"/>
  <c r="F1088" i="26"/>
  <c r="F1089" i="26"/>
  <c r="F1090" i="26"/>
  <c r="F1091" i="26"/>
  <c r="F1092" i="26"/>
  <c r="F1093" i="26"/>
  <c r="F1094" i="26"/>
  <c r="F1095" i="26"/>
  <c r="F1096" i="26"/>
  <c r="F1097" i="26"/>
  <c r="F1098" i="26"/>
  <c r="F1099" i="26"/>
  <c r="F1100" i="26"/>
  <c r="F1101" i="26"/>
  <c r="F1102" i="26"/>
  <c r="F1103" i="26"/>
  <c r="F1104" i="26"/>
  <c r="F1105" i="26"/>
  <c r="F1106" i="26"/>
  <c r="F1107" i="26"/>
  <c r="F1108" i="26"/>
  <c r="F1109" i="26"/>
  <c r="F1110" i="26"/>
  <c r="F1111" i="26"/>
  <c r="F1112" i="26"/>
  <c r="F1113" i="26"/>
  <c r="F1114" i="26"/>
  <c r="F1115" i="26"/>
  <c r="F1116" i="26"/>
  <c r="F1117" i="26"/>
  <c r="F1118" i="26"/>
  <c r="F1119" i="26"/>
  <c r="F1120" i="26"/>
  <c r="F1121" i="26"/>
  <c r="F1122" i="26"/>
  <c r="F1123" i="26"/>
  <c r="F1124" i="26"/>
  <c r="F1125" i="26"/>
  <c r="F1126" i="26"/>
  <c r="F1127" i="26"/>
  <c r="F1128" i="26"/>
  <c r="F1129" i="26"/>
  <c r="F1130" i="26"/>
  <c r="F1131" i="26"/>
  <c r="F1132" i="26"/>
  <c r="F1133" i="26"/>
  <c r="F1134" i="26"/>
  <c r="F1135" i="26"/>
  <c r="F1136" i="26"/>
  <c r="F1137" i="26"/>
  <c r="F1138" i="26"/>
  <c r="F1139" i="26"/>
  <c r="F1140" i="26"/>
  <c r="F1141" i="26"/>
  <c r="F1142" i="26"/>
  <c r="F1143" i="26"/>
  <c r="F1144" i="26"/>
  <c r="F1145" i="26"/>
  <c r="F1146" i="26"/>
  <c r="F1147" i="26"/>
  <c r="F1148" i="26"/>
  <c r="F1149" i="26"/>
  <c r="F1150" i="26"/>
  <c r="F1151" i="26"/>
  <c r="F1152" i="26"/>
  <c r="F1153" i="26"/>
  <c r="F1154" i="26"/>
  <c r="F1155" i="26"/>
  <c r="F1156" i="26"/>
  <c r="F1157" i="26"/>
  <c r="F1158" i="26"/>
  <c r="F1159" i="26"/>
  <c r="F1160" i="26"/>
  <c r="F1161" i="26"/>
  <c r="F1162" i="26"/>
  <c r="F1163" i="26"/>
  <c r="F1164" i="26"/>
  <c r="F1165" i="26"/>
  <c r="F1166" i="26"/>
  <c r="F1167" i="26"/>
  <c r="F1168" i="26"/>
  <c r="F1169" i="26"/>
  <c r="F1170" i="26"/>
  <c r="F1171" i="26"/>
  <c r="F1172" i="26"/>
  <c r="F1173" i="26"/>
  <c r="F1174" i="26"/>
  <c r="F1175" i="26"/>
  <c r="F1176" i="26"/>
  <c r="F1177" i="26"/>
  <c r="F1178" i="26"/>
  <c r="F1179" i="26"/>
  <c r="F1180" i="26"/>
  <c r="F1181" i="26"/>
  <c r="F1182" i="26"/>
  <c r="F1183" i="26"/>
  <c r="F1184" i="26"/>
  <c r="F1185" i="26"/>
  <c r="F1186" i="26"/>
  <c r="F1187" i="26"/>
  <c r="F1188" i="26"/>
  <c r="F1189" i="26"/>
  <c r="F1190" i="26"/>
  <c r="F1191" i="26"/>
  <c r="F1192" i="26"/>
  <c r="F1193" i="26"/>
  <c r="F1194" i="26"/>
  <c r="F1195" i="26"/>
  <c r="F1196" i="26"/>
  <c r="F1197" i="26"/>
  <c r="F1198" i="26"/>
  <c r="F1199" i="26"/>
  <c r="F1200" i="26"/>
  <c r="F1201" i="26"/>
  <c r="F1202" i="26"/>
  <c r="F1203" i="26"/>
  <c r="F1204" i="26"/>
  <c r="F1205" i="26"/>
  <c r="F1206" i="26"/>
  <c r="F1207" i="26"/>
  <c r="F1208" i="26"/>
  <c r="F1209" i="26"/>
  <c r="F1210" i="26"/>
  <c r="F1211" i="26"/>
  <c r="F1212" i="26"/>
  <c r="F1213" i="26"/>
  <c r="F1214" i="26"/>
  <c r="F1215" i="26"/>
  <c r="F1216" i="26"/>
  <c r="F1217" i="26"/>
  <c r="F1218" i="26"/>
  <c r="F1219" i="26"/>
  <c r="F1220" i="26"/>
  <c r="F1221" i="26"/>
  <c r="F1222" i="26"/>
  <c r="F1223" i="26"/>
  <c r="F1224" i="26"/>
  <c r="F1225" i="26"/>
  <c r="F1226" i="26"/>
  <c r="F1227" i="26"/>
  <c r="F1228" i="26"/>
  <c r="F1229" i="26"/>
  <c r="F1230" i="26"/>
  <c r="F1231" i="26"/>
  <c r="F1232" i="26"/>
  <c r="F1233" i="26"/>
  <c r="F1234" i="26"/>
  <c r="F1235" i="26"/>
  <c r="F1236" i="26"/>
  <c r="F1237" i="26"/>
  <c r="F1238" i="26"/>
  <c r="F1239" i="26"/>
  <c r="F1240" i="26"/>
  <c r="F1241" i="26"/>
  <c r="F1242" i="26"/>
  <c r="F1243" i="26"/>
  <c r="F1244" i="26"/>
  <c r="F1245" i="26"/>
  <c r="F1246" i="26"/>
  <c r="F1247" i="26"/>
  <c r="F1248" i="26"/>
  <c r="F1249" i="26"/>
  <c r="F1250" i="26"/>
  <c r="F1251" i="26"/>
  <c r="F1252" i="26"/>
  <c r="F1253" i="26"/>
  <c r="F1254" i="26"/>
  <c r="F1255" i="26"/>
  <c r="F1256" i="26"/>
  <c r="F1257" i="26"/>
  <c r="F1258" i="26"/>
  <c r="F1259" i="26"/>
  <c r="F1260" i="26"/>
  <c r="F1261" i="26"/>
  <c r="F1262" i="26"/>
  <c r="F1263" i="26"/>
  <c r="F1264" i="26"/>
  <c r="F1265" i="26"/>
  <c r="F1266" i="26"/>
  <c r="F1267" i="26"/>
  <c r="F1268" i="26"/>
  <c r="F1269" i="26"/>
  <c r="F1270" i="26"/>
  <c r="F1271" i="26"/>
  <c r="F1272" i="26"/>
  <c r="F1273" i="26"/>
  <c r="F1274" i="26"/>
  <c r="F1275" i="26"/>
  <c r="F1276" i="26"/>
  <c r="F1277" i="26"/>
  <c r="F1278" i="26"/>
  <c r="F1279" i="26"/>
  <c r="F1280" i="26"/>
  <c r="F1281" i="26"/>
  <c r="F1282" i="26"/>
  <c r="F1283" i="26"/>
  <c r="F1284" i="26"/>
  <c r="F1285" i="26"/>
  <c r="F1286" i="26"/>
  <c r="F1287" i="26"/>
  <c r="F1288" i="26"/>
  <c r="F1289" i="26"/>
  <c r="F1290" i="26"/>
  <c r="F1291" i="26"/>
  <c r="F1292" i="26"/>
  <c r="F1293" i="26"/>
  <c r="F1294" i="26"/>
  <c r="F1295" i="26"/>
  <c r="F1296" i="26"/>
  <c r="F1297" i="26"/>
  <c r="F1298" i="26"/>
  <c r="F1299" i="26"/>
  <c r="F1300" i="26"/>
  <c r="F1301" i="26"/>
  <c r="F1302" i="26"/>
  <c r="F1303" i="26"/>
  <c r="F1304" i="26"/>
  <c r="F1305" i="26"/>
  <c r="F1306" i="26"/>
  <c r="F1307" i="26"/>
  <c r="F1308" i="26"/>
  <c r="F1309" i="26"/>
  <c r="F1310" i="26"/>
  <c r="F1311" i="26"/>
  <c r="F1312" i="26"/>
  <c r="F1313" i="26"/>
  <c r="F1314" i="26"/>
  <c r="F1315" i="26"/>
  <c r="F1316" i="26"/>
  <c r="F1317" i="26"/>
  <c r="F1318" i="26"/>
  <c r="F1319" i="26"/>
  <c r="F1320" i="26"/>
  <c r="F1321" i="26"/>
  <c r="F1322" i="26"/>
  <c r="F1323" i="26"/>
  <c r="F1324" i="26"/>
  <c r="F1325" i="26"/>
  <c r="F1326" i="26"/>
  <c r="F1327" i="26"/>
  <c r="F6" i="26" l="1"/>
  <c r="F7" i="26"/>
  <c r="F8" i="26"/>
  <c r="F9" i="26"/>
  <c r="F10" i="26"/>
  <c r="F11" i="26"/>
  <c r="F12" i="26"/>
  <c r="F13" i="26"/>
  <c r="F14" i="26"/>
  <c r="F15" i="26"/>
  <c r="F16" i="26"/>
  <c r="F17" i="26"/>
  <c r="F18" i="26"/>
  <c r="F19" i="26"/>
  <c r="F20" i="26"/>
  <c r="F21" i="26"/>
  <c r="F22" i="26"/>
  <c r="F23" i="26"/>
  <c r="F24" i="26"/>
  <c r="F25" i="26"/>
  <c r="F26" i="26"/>
  <c r="F27" i="26"/>
  <c r="F28" i="26"/>
  <c r="F29" i="26"/>
  <c r="F30" i="26"/>
  <c r="F31" i="26"/>
  <c r="F32" i="26"/>
  <c r="F33" i="26"/>
  <c r="F34" i="26"/>
  <c r="F35" i="26"/>
  <c r="F36" i="26"/>
  <c r="F37" i="26"/>
  <c r="F38" i="26"/>
  <c r="F39" i="26"/>
  <c r="F40" i="26"/>
  <c r="F41" i="26"/>
  <c r="F42" i="26"/>
  <c r="F43" i="26"/>
  <c r="F44" i="26"/>
  <c r="F45" i="26"/>
  <c r="F46" i="26"/>
  <c r="F47" i="26"/>
  <c r="F48" i="26"/>
  <c r="F49" i="26"/>
  <c r="F50" i="26"/>
  <c r="F51" i="26"/>
  <c r="F52" i="26"/>
  <c r="F53" i="26"/>
  <c r="F54" i="26"/>
  <c r="F55" i="26"/>
  <c r="F56" i="26"/>
  <c r="F57" i="26"/>
  <c r="F58" i="26"/>
  <c r="F59" i="26"/>
  <c r="F60" i="26"/>
  <c r="F61" i="26"/>
  <c r="F62" i="26"/>
  <c r="F63" i="26"/>
  <c r="F64" i="26"/>
  <c r="F65" i="26"/>
  <c r="F66" i="26"/>
  <c r="F67" i="26"/>
  <c r="F68" i="26"/>
  <c r="F69" i="26"/>
  <c r="F70" i="26"/>
  <c r="F71" i="26"/>
  <c r="F72" i="26"/>
  <c r="F73" i="26"/>
  <c r="F74" i="26"/>
  <c r="F75" i="26"/>
  <c r="F76" i="26"/>
  <c r="F77" i="26"/>
  <c r="F78" i="26"/>
  <c r="F79" i="26"/>
  <c r="F80" i="26"/>
  <c r="F81" i="26"/>
  <c r="F82" i="26"/>
  <c r="F83" i="26"/>
  <c r="F84" i="26"/>
  <c r="F85" i="26"/>
  <c r="F86" i="26"/>
  <c r="F87" i="26"/>
  <c r="F88" i="26"/>
  <c r="F89" i="26"/>
  <c r="F90" i="26"/>
  <c r="F91" i="26"/>
  <c r="F92" i="26"/>
  <c r="F93" i="26"/>
  <c r="F94" i="26"/>
  <c r="F95" i="26"/>
  <c r="F96" i="26"/>
  <c r="F97" i="26"/>
  <c r="F98" i="26"/>
  <c r="F99" i="26"/>
  <c r="F100" i="26"/>
  <c r="F101" i="26"/>
  <c r="F102" i="26"/>
  <c r="F103" i="26"/>
  <c r="F104" i="26"/>
  <c r="F105" i="26"/>
  <c r="F106" i="26"/>
  <c r="F107" i="26"/>
  <c r="F108" i="26"/>
  <c r="F109" i="26"/>
  <c r="F110" i="26"/>
  <c r="F111" i="26"/>
  <c r="F112" i="26"/>
  <c r="F113" i="26"/>
  <c r="F114" i="26"/>
  <c r="F115" i="26"/>
  <c r="F116" i="26"/>
  <c r="F117" i="26"/>
  <c r="F118" i="26"/>
  <c r="F119" i="26"/>
  <c r="F120" i="26"/>
  <c r="F121" i="26"/>
  <c r="F122" i="26"/>
  <c r="F123" i="26"/>
  <c r="F124" i="26"/>
  <c r="F125" i="26"/>
  <c r="F126" i="26"/>
  <c r="F127" i="26"/>
  <c r="F128" i="26"/>
  <c r="F129" i="26"/>
  <c r="F130" i="26"/>
  <c r="F131" i="26"/>
  <c r="F132" i="26"/>
  <c r="F133" i="26"/>
  <c r="F134" i="26"/>
  <c r="F135" i="26"/>
  <c r="F136" i="26"/>
  <c r="F137" i="26"/>
  <c r="F138" i="26"/>
  <c r="F139" i="26"/>
  <c r="F140" i="26"/>
  <c r="F141" i="26"/>
  <c r="F142" i="26"/>
  <c r="F143" i="26"/>
  <c r="F144" i="26"/>
  <c r="F145" i="26"/>
  <c r="F146" i="26"/>
  <c r="F147" i="26"/>
  <c r="F148" i="26"/>
  <c r="F149" i="26"/>
  <c r="F150" i="26"/>
  <c r="F151" i="26"/>
  <c r="F152" i="26"/>
  <c r="F153" i="26"/>
  <c r="F154" i="26"/>
  <c r="F155" i="26"/>
  <c r="F156" i="26"/>
  <c r="F157" i="26"/>
  <c r="F158" i="26"/>
  <c r="F159" i="26"/>
  <c r="F160" i="26"/>
  <c r="F161" i="26"/>
  <c r="F162" i="26"/>
  <c r="F163" i="26"/>
  <c r="F164" i="26"/>
  <c r="F165" i="26"/>
  <c r="F166" i="26"/>
  <c r="F167" i="26"/>
  <c r="F168" i="26"/>
  <c r="F169" i="26"/>
  <c r="F170" i="26"/>
  <c r="F171" i="26"/>
  <c r="F172" i="26"/>
  <c r="F173" i="26"/>
  <c r="F174" i="26"/>
  <c r="F175" i="26"/>
  <c r="F176" i="26"/>
  <c r="F177" i="26"/>
  <c r="F178" i="26"/>
  <c r="F179" i="26"/>
  <c r="F180" i="26"/>
  <c r="F181" i="26"/>
  <c r="F182" i="26"/>
  <c r="F183" i="26"/>
  <c r="F184" i="26"/>
  <c r="F185" i="26"/>
  <c r="F186" i="26"/>
  <c r="F187" i="26"/>
  <c r="F188" i="26"/>
  <c r="F189" i="26"/>
  <c r="F190" i="26"/>
  <c r="F191" i="26"/>
  <c r="F192" i="26"/>
  <c r="F193" i="26"/>
  <c r="F194" i="26"/>
  <c r="F195" i="26"/>
  <c r="F196" i="26"/>
  <c r="F197" i="26"/>
  <c r="F198" i="26"/>
  <c r="F199" i="26"/>
  <c r="F200" i="26"/>
  <c r="F201" i="26"/>
  <c r="F202" i="26"/>
  <c r="F203" i="26"/>
  <c r="F204" i="26"/>
  <c r="F205" i="26"/>
  <c r="F206" i="26"/>
  <c r="F207" i="26"/>
  <c r="F208" i="26"/>
  <c r="F209" i="26"/>
  <c r="F210" i="26"/>
  <c r="F211" i="26"/>
  <c r="F212" i="26"/>
  <c r="F213" i="26"/>
  <c r="F214" i="26"/>
  <c r="F215" i="26"/>
  <c r="F216" i="26"/>
  <c r="F217" i="26"/>
  <c r="F218" i="26"/>
  <c r="F219" i="26"/>
  <c r="F220" i="26"/>
  <c r="F221" i="26"/>
  <c r="F222" i="26"/>
  <c r="F223" i="26"/>
  <c r="F224" i="26"/>
  <c r="F225" i="26"/>
  <c r="F226" i="26"/>
  <c r="F227" i="26"/>
  <c r="F228" i="26"/>
  <c r="F229" i="26"/>
  <c r="F230" i="26"/>
  <c r="F231" i="26"/>
  <c r="F232" i="26"/>
  <c r="F233" i="26"/>
  <c r="F234" i="26"/>
  <c r="F235" i="26"/>
  <c r="F236" i="26"/>
  <c r="F237" i="26"/>
  <c r="F238" i="26"/>
  <c r="F239" i="26"/>
  <c r="F240" i="26"/>
  <c r="F241" i="26"/>
  <c r="F242" i="26"/>
  <c r="F243" i="26"/>
  <c r="F244" i="26"/>
  <c r="F245" i="26"/>
  <c r="F246" i="26"/>
  <c r="F247" i="26"/>
  <c r="F248" i="26"/>
  <c r="F249" i="26"/>
  <c r="F250" i="26"/>
  <c r="F251" i="26"/>
  <c r="F252" i="26"/>
  <c r="F253" i="26"/>
  <c r="F254" i="26"/>
  <c r="F255" i="26"/>
  <c r="F256" i="26"/>
  <c r="F257" i="26"/>
  <c r="F258" i="26"/>
  <c r="F259" i="26"/>
  <c r="F260" i="26"/>
  <c r="F261" i="26"/>
  <c r="F262" i="26"/>
  <c r="F263" i="26"/>
  <c r="F264" i="26"/>
  <c r="F265" i="26"/>
  <c r="F266" i="26"/>
  <c r="F267" i="26"/>
  <c r="F268" i="26"/>
  <c r="F269" i="26"/>
  <c r="F270" i="26"/>
  <c r="F271" i="26"/>
  <c r="F272" i="26"/>
  <c r="F273" i="26"/>
  <c r="F274" i="26"/>
  <c r="F275" i="26"/>
  <c r="F276" i="26"/>
  <c r="F277" i="26"/>
  <c r="F278" i="26"/>
  <c r="F279" i="26"/>
  <c r="F280" i="26"/>
  <c r="F281" i="26"/>
  <c r="F282" i="26"/>
  <c r="F283" i="26"/>
  <c r="F284" i="26"/>
  <c r="F285" i="26"/>
  <c r="F286" i="26"/>
  <c r="F287" i="26"/>
  <c r="F288" i="26"/>
  <c r="F289" i="26"/>
  <c r="F290" i="26"/>
  <c r="F291" i="26"/>
  <c r="F292" i="26"/>
  <c r="F293" i="26"/>
  <c r="F294" i="26"/>
  <c r="F295" i="26"/>
  <c r="F296" i="26"/>
  <c r="F297" i="26"/>
  <c r="F298" i="26"/>
  <c r="F299" i="26"/>
  <c r="F300" i="26"/>
  <c r="F301" i="26"/>
  <c r="F302" i="26"/>
  <c r="F303" i="26"/>
  <c r="F304" i="26"/>
  <c r="F305" i="26"/>
  <c r="F306" i="26"/>
  <c r="F307" i="26"/>
  <c r="F308" i="26"/>
  <c r="F309" i="26"/>
  <c r="F310" i="26"/>
  <c r="F311" i="26"/>
  <c r="F312" i="26"/>
  <c r="F313" i="26"/>
  <c r="F314" i="26"/>
  <c r="F315" i="26"/>
  <c r="F316" i="26"/>
  <c r="F317" i="26"/>
  <c r="F318" i="26"/>
  <c r="F319" i="26"/>
  <c r="F320" i="26"/>
  <c r="F321" i="26"/>
  <c r="F322" i="26"/>
  <c r="F323" i="26"/>
  <c r="F324" i="26"/>
  <c r="F325" i="26"/>
  <c r="F326" i="26"/>
  <c r="F327" i="26"/>
  <c r="F328" i="26"/>
  <c r="F329" i="26"/>
  <c r="F330" i="26"/>
  <c r="F331" i="26"/>
  <c r="F332" i="26"/>
  <c r="F333" i="26"/>
  <c r="F334" i="26"/>
  <c r="F335" i="26"/>
  <c r="F336" i="26"/>
  <c r="F337" i="26"/>
  <c r="F338" i="26"/>
  <c r="F339" i="26"/>
  <c r="F340" i="26"/>
  <c r="F341" i="26"/>
  <c r="F342" i="26"/>
  <c r="F343" i="26"/>
  <c r="F344" i="26"/>
  <c r="F345" i="26"/>
  <c r="F346" i="26"/>
  <c r="F347" i="26"/>
  <c r="F348" i="26"/>
  <c r="F349" i="26"/>
  <c r="F350" i="26"/>
  <c r="F351" i="26"/>
  <c r="F352" i="26"/>
  <c r="F353" i="26"/>
  <c r="F354" i="26"/>
  <c r="F355" i="26"/>
  <c r="F356" i="26"/>
  <c r="F357" i="26"/>
  <c r="F358" i="26"/>
  <c r="F359" i="26"/>
  <c r="F360" i="26"/>
  <c r="F361" i="26"/>
  <c r="F362" i="26"/>
  <c r="F363" i="26"/>
  <c r="F364" i="26"/>
  <c r="F365" i="26"/>
  <c r="F366" i="26"/>
  <c r="F367" i="26"/>
  <c r="F368" i="26"/>
  <c r="F369" i="26"/>
  <c r="F370" i="26"/>
  <c r="F371" i="26"/>
  <c r="F372" i="26"/>
  <c r="F373" i="26"/>
  <c r="F374" i="26"/>
  <c r="F375" i="26"/>
  <c r="F376" i="26"/>
  <c r="F377" i="26"/>
  <c r="F378" i="26"/>
  <c r="F379" i="26"/>
  <c r="F380" i="26"/>
  <c r="F381" i="26"/>
  <c r="F382" i="26"/>
  <c r="F383" i="26"/>
  <c r="F384" i="26"/>
  <c r="F385" i="26"/>
  <c r="F386" i="26"/>
  <c r="F387" i="26"/>
  <c r="F388" i="26"/>
  <c r="F389" i="26"/>
  <c r="F390" i="26"/>
  <c r="F391" i="26"/>
  <c r="F392" i="26"/>
  <c r="F393" i="26"/>
  <c r="F394" i="26"/>
  <c r="F395" i="26"/>
  <c r="F396" i="26"/>
  <c r="F397" i="26"/>
  <c r="F398" i="26"/>
  <c r="F399" i="26"/>
  <c r="F400" i="26"/>
  <c r="F401" i="26"/>
  <c r="F402" i="26"/>
  <c r="F403" i="26"/>
  <c r="F404" i="26"/>
  <c r="F405" i="26"/>
  <c r="F406" i="26"/>
  <c r="F407" i="26"/>
  <c r="F408" i="26"/>
  <c r="F409" i="26"/>
  <c r="F410" i="26"/>
  <c r="F411" i="26"/>
  <c r="F412" i="26"/>
  <c r="F413" i="26"/>
  <c r="F414" i="26"/>
  <c r="F415" i="26"/>
  <c r="F416" i="26"/>
  <c r="F417" i="26"/>
  <c r="F418" i="26"/>
  <c r="F419" i="26"/>
  <c r="F420" i="26"/>
  <c r="F421" i="26"/>
  <c r="F422" i="26"/>
  <c r="F423" i="26"/>
  <c r="F424" i="26"/>
  <c r="F425" i="26"/>
  <c r="F426" i="26"/>
  <c r="F427" i="26"/>
  <c r="F428" i="26"/>
  <c r="F429" i="26"/>
  <c r="F430" i="26"/>
  <c r="F431" i="26"/>
  <c r="F432" i="26"/>
  <c r="F433" i="26"/>
  <c r="F434" i="26"/>
  <c r="F435" i="26"/>
  <c r="F436" i="26"/>
  <c r="F437" i="26"/>
  <c r="F438" i="26"/>
  <c r="F439" i="26"/>
  <c r="F440" i="26"/>
  <c r="F441" i="26"/>
  <c r="F442" i="26"/>
  <c r="F443" i="26"/>
  <c r="F444" i="26"/>
  <c r="F445" i="26"/>
  <c r="F446" i="26"/>
  <c r="F447" i="26"/>
  <c r="F448" i="26"/>
  <c r="F449" i="26"/>
  <c r="F450" i="26"/>
  <c r="F451" i="26"/>
  <c r="F452" i="26"/>
  <c r="F453" i="26"/>
  <c r="F454" i="26"/>
  <c r="F455" i="26"/>
  <c r="F456" i="26"/>
  <c r="F457" i="26"/>
  <c r="F458" i="26"/>
  <c r="F459" i="26"/>
  <c r="F460" i="26"/>
  <c r="F461" i="26"/>
  <c r="F462" i="26"/>
  <c r="F463" i="26"/>
  <c r="F464" i="26"/>
  <c r="F465" i="26"/>
  <c r="F466" i="26"/>
  <c r="F467" i="26"/>
  <c r="F468" i="26"/>
  <c r="F469" i="26"/>
  <c r="F470" i="26"/>
  <c r="F471" i="26"/>
  <c r="F472" i="26"/>
  <c r="F473" i="26"/>
  <c r="F474" i="26"/>
  <c r="F475" i="26"/>
  <c r="F476" i="26"/>
  <c r="F477" i="26"/>
  <c r="F478" i="26"/>
  <c r="F479" i="26"/>
  <c r="F480" i="26"/>
  <c r="F481" i="26"/>
  <c r="F482" i="26"/>
  <c r="F483" i="26"/>
  <c r="F484" i="26"/>
  <c r="F485" i="26"/>
  <c r="F486" i="26"/>
  <c r="F487" i="26"/>
  <c r="F488" i="26"/>
  <c r="F489" i="26"/>
  <c r="F490" i="26"/>
  <c r="F491" i="26"/>
  <c r="F492" i="26"/>
  <c r="F493" i="26"/>
  <c r="F494" i="26"/>
  <c r="F495" i="26"/>
  <c r="F496" i="26"/>
  <c r="F497" i="26"/>
  <c r="F498" i="26"/>
  <c r="F499" i="26"/>
  <c r="F500" i="26"/>
  <c r="F501" i="26"/>
  <c r="F502" i="26"/>
  <c r="F503" i="26"/>
  <c r="F504" i="26"/>
  <c r="F505" i="26"/>
  <c r="F506" i="26"/>
  <c r="F507" i="26"/>
  <c r="F508" i="26"/>
  <c r="F509" i="26"/>
  <c r="F510" i="26"/>
  <c r="F511" i="26"/>
  <c r="F512" i="26"/>
  <c r="F513" i="26"/>
  <c r="F514" i="26"/>
  <c r="F515" i="26"/>
  <c r="F516" i="26"/>
  <c r="F517" i="26"/>
  <c r="F518" i="26"/>
  <c r="F519" i="26"/>
  <c r="F520" i="26"/>
  <c r="F521" i="26"/>
  <c r="F522" i="26"/>
  <c r="F523" i="26"/>
  <c r="F524" i="26"/>
  <c r="F525" i="26"/>
  <c r="F526" i="26"/>
  <c r="F527" i="26"/>
  <c r="F528" i="26"/>
  <c r="F529" i="26"/>
  <c r="F530" i="26"/>
  <c r="F531" i="26"/>
  <c r="F532" i="26"/>
  <c r="F533" i="26"/>
  <c r="F534" i="26"/>
  <c r="F535" i="26"/>
  <c r="F536" i="26"/>
  <c r="F537" i="26"/>
  <c r="F538" i="26"/>
  <c r="F539" i="26"/>
  <c r="F540" i="26"/>
  <c r="F541" i="26"/>
  <c r="F542" i="26"/>
  <c r="F543" i="26"/>
  <c r="F544" i="26"/>
  <c r="F545" i="26"/>
  <c r="F546" i="26"/>
  <c r="F547" i="26"/>
  <c r="F548" i="26"/>
  <c r="F549" i="26"/>
  <c r="F550" i="26"/>
  <c r="F551" i="26"/>
  <c r="F552" i="26"/>
  <c r="F553" i="26"/>
  <c r="F554" i="26"/>
  <c r="F555" i="26"/>
  <c r="F556" i="26"/>
  <c r="F557" i="26"/>
  <c r="F558" i="26"/>
  <c r="F559" i="26"/>
  <c r="F560" i="26"/>
  <c r="F561" i="26"/>
  <c r="F562" i="26"/>
  <c r="F563" i="26"/>
  <c r="F564" i="26"/>
  <c r="F565" i="26"/>
  <c r="F566" i="26"/>
  <c r="F567" i="26"/>
  <c r="F568" i="26"/>
  <c r="F569" i="26"/>
  <c r="F570" i="26"/>
  <c r="F571" i="26"/>
  <c r="F572" i="26"/>
  <c r="F573" i="26"/>
  <c r="F574" i="26"/>
  <c r="F575" i="26"/>
  <c r="F576" i="26"/>
  <c r="F577" i="26"/>
  <c r="F578" i="26"/>
  <c r="F579" i="26"/>
  <c r="F580" i="26"/>
  <c r="F581" i="26"/>
  <c r="F582" i="26"/>
  <c r="F583" i="26"/>
  <c r="F584" i="26"/>
  <c r="F585" i="26"/>
  <c r="F586" i="26"/>
  <c r="F587" i="26"/>
  <c r="F588" i="26"/>
  <c r="F589" i="26"/>
  <c r="F590" i="26"/>
  <c r="F591" i="26"/>
  <c r="F592" i="26"/>
  <c r="F593" i="26"/>
  <c r="F594" i="26"/>
  <c r="F595" i="26"/>
  <c r="F596" i="26"/>
  <c r="F597" i="26"/>
  <c r="F598" i="26"/>
  <c r="F599" i="26"/>
  <c r="F600" i="26"/>
  <c r="F601" i="26"/>
  <c r="F602" i="26"/>
  <c r="F603" i="26"/>
  <c r="F604" i="26"/>
  <c r="F605" i="26"/>
  <c r="F606" i="26"/>
  <c r="F607" i="26"/>
  <c r="F608" i="26"/>
  <c r="F609" i="26"/>
  <c r="F610" i="26"/>
  <c r="F611" i="26"/>
  <c r="F612" i="26"/>
  <c r="F613" i="26"/>
  <c r="F614" i="26"/>
  <c r="F615" i="26"/>
  <c r="F616" i="26"/>
  <c r="F617" i="26"/>
  <c r="F618" i="26"/>
  <c r="F619" i="26"/>
  <c r="F620" i="26"/>
  <c r="F621" i="26"/>
  <c r="F622" i="26"/>
  <c r="F623" i="26"/>
  <c r="F624" i="26"/>
  <c r="F625" i="26"/>
  <c r="F626" i="26"/>
  <c r="F627" i="26"/>
  <c r="F628" i="26"/>
  <c r="F629" i="26"/>
  <c r="F630" i="26"/>
  <c r="F631" i="26"/>
  <c r="F632" i="26"/>
  <c r="F633" i="26"/>
  <c r="F634" i="26"/>
  <c r="F635" i="26"/>
  <c r="F636" i="26"/>
  <c r="F637" i="26"/>
  <c r="F638" i="26"/>
  <c r="F639" i="26"/>
  <c r="F640" i="26"/>
  <c r="F641" i="26"/>
  <c r="F642" i="26"/>
  <c r="F643" i="26"/>
  <c r="F644" i="26"/>
  <c r="F645" i="26"/>
  <c r="F646" i="26"/>
  <c r="F647" i="26"/>
  <c r="F648" i="26"/>
  <c r="F649" i="26"/>
  <c r="F650" i="26"/>
  <c r="F651" i="26"/>
  <c r="F652" i="26"/>
  <c r="F653" i="26"/>
  <c r="F654" i="26"/>
  <c r="F655" i="26"/>
  <c r="F656" i="26"/>
  <c r="F657" i="26"/>
  <c r="F658" i="26"/>
  <c r="F659" i="26"/>
  <c r="F660" i="26"/>
  <c r="F661" i="26"/>
  <c r="F662" i="26"/>
  <c r="F663" i="26"/>
  <c r="F664" i="26"/>
  <c r="F665" i="26"/>
  <c r="F666" i="26"/>
  <c r="F667" i="26"/>
  <c r="F668" i="26"/>
  <c r="F669" i="26"/>
  <c r="F670" i="26"/>
  <c r="F671" i="26"/>
  <c r="F672" i="26"/>
  <c r="F673" i="26"/>
  <c r="F674" i="26"/>
  <c r="F675" i="26"/>
  <c r="F676" i="26"/>
  <c r="F677" i="26"/>
  <c r="F678" i="26"/>
  <c r="F679" i="26"/>
  <c r="F680" i="26"/>
  <c r="F681" i="26"/>
  <c r="F682" i="26"/>
  <c r="F683" i="26"/>
  <c r="F684" i="26"/>
  <c r="F685" i="26"/>
  <c r="F686" i="26"/>
  <c r="F687" i="26"/>
  <c r="F688" i="26"/>
  <c r="F689" i="26"/>
  <c r="F690" i="26"/>
  <c r="F691" i="26"/>
  <c r="F692" i="26"/>
  <c r="F693" i="26"/>
  <c r="F694" i="26"/>
  <c r="F695" i="26"/>
  <c r="F696" i="26"/>
  <c r="F697" i="26"/>
  <c r="F698" i="26"/>
  <c r="F699" i="26"/>
  <c r="F700" i="26"/>
  <c r="F701" i="26"/>
  <c r="F702" i="26"/>
  <c r="F703" i="26"/>
  <c r="F704" i="26"/>
  <c r="F705" i="26"/>
  <c r="F706" i="26"/>
  <c r="F707" i="26"/>
  <c r="F708" i="26"/>
  <c r="F709" i="26"/>
  <c r="F710" i="26"/>
  <c r="F711" i="26"/>
  <c r="F712" i="26"/>
  <c r="F713" i="26"/>
  <c r="F714" i="26"/>
  <c r="F715" i="26"/>
  <c r="F716" i="26"/>
  <c r="F717" i="26"/>
  <c r="F718" i="26"/>
  <c r="F719" i="26"/>
  <c r="F720" i="26"/>
  <c r="F721" i="26"/>
  <c r="F722" i="26"/>
  <c r="F723" i="26"/>
  <c r="F724" i="26"/>
  <c r="F725" i="26"/>
  <c r="F726" i="26"/>
  <c r="F727" i="26"/>
  <c r="F728" i="26"/>
  <c r="F729" i="26"/>
  <c r="F730" i="26"/>
  <c r="F731" i="26"/>
  <c r="F732" i="26"/>
  <c r="F733" i="26"/>
  <c r="F734" i="26"/>
  <c r="F735" i="26"/>
  <c r="F736" i="26"/>
  <c r="F737" i="26"/>
  <c r="F738" i="26"/>
  <c r="F739" i="26"/>
  <c r="F740" i="26"/>
  <c r="F741" i="26"/>
  <c r="F742" i="26"/>
  <c r="F743" i="26"/>
  <c r="F744" i="26"/>
  <c r="F745" i="26"/>
  <c r="F746" i="26"/>
  <c r="F747" i="26"/>
  <c r="F748" i="26"/>
  <c r="F749" i="26"/>
  <c r="F750" i="26"/>
  <c r="F751" i="26"/>
  <c r="F752" i="26"/>
  <c r="F753" i="26"/>
  <c r="F754" i="26"/>
  <c r="F755" i="26"/>
  <c r="F756" i="26"/>
  <c r="F757" i="26"/>
  <c r="F758" i="26"/>
  <c r="F759" i="26"/>
  <c r="F760" i="26"/>
  <c r="F761" i="26"/>
  <c r="F762" i="26"/>
  <c r="F763" i="26"/>
  <c r="F764" i="26"/>
  <c r="F765" i="26"/>
  <c r="F766" i="26"/>
  <c r="F767" i="26"/>
  <c r="F768" i="26"/>
  <c r="F769" i="26"/>
  <c r="F770" i="26"/>
  <c r="F771" i="26"/>
  <c r="F772" i="26"/>
  <c r="F773" i="26"/>
  <c r="F774" i="26"/>
  <c r="F775" i="26"/>
  <c r="F776" i="26"/>
  <c r="F777" i="26"/>
  <c r="F778" i="26"/>
  <c r="F779" i="26"/>
  <c r="F780" i="26"/>
  <c r="F781" i="26"/>
  <c r="F782" i="26"/>
  <c r="F783" i="26"/>
  <c r="F784" i="26"/>
  <c r="F785" i="26"/>
  <c r="F786" i="26"/>
  <c r="F787" i="26"/>
  <c r="F788" i="26"/>
  <c r="F789" i="26"/>
  <c r="F790" i="26"/>
  <c r="F791" i="26"/>
  <c r="F792" i="26"/>
  <c r="F793" i="26"/>
  <c r="F794" i="26"/>
  <c r="F795" i="26"/>
  <c r="F796" i="26"/>
  <c r="F797" i="26"/>
  <c r="F798" i="26"/>
  <c r="F799" i="26"/>
  <c r="F800" i="26"/>
  <c r="F801" i="26"/>
  <c r="F802" i="26"/>
  <c r="F803" i="26"/>
  <c r="F804" i="26"/>
  <c r="F805" i="26"/>
  <c r="F806" i="26"/>
  <c r="F807" i="26"/>
  <c r="F808" i="26"/>
  <c r="F809" i="26"/>
  <c r="F810" i="26"/>
  <c r="F811" i="26"/>
  <c r="F812" i="26"/>
  <c r="F813" i="26"/>
  <c r="F814" i="26"/>
  <c r="F815" i="26"/>
  <c r="F816" i="26"/>
  <c r="F817" i="26"/>
  <c r="F818" i="26"/>
  <c r="F819" i="26"/>
  <c r="F820" i="26"/>
  <c r="F821" i="26"/>
  <c r="F822" i="26"/>
  <c r="F823" i="26"/>
  <c r="F824" i="26"/>
  <c r="F825" i="26"/>
  <c r="F826" i="26"/>
  <c r="F827" i="26"/>
  <c r="F828" i="26"/>
  <c r="F829" i="26"/>
  <c r="F830" i="26"/>
  <c r="F831" i="26"/>
  <c r="F832" i="26"/>
  <c r="F833" i="26"/>
  <c r="F834" i="26"/>
  <c r="F835" i="26"/>
  <c r="F836" i="26"/>
  <c r="F837" i="26"/>
  <c r="F838" i="26"/>
  <c r="F839" i="26"/>
  <c r="F840" i="26"/>
  <c r="F841" i="26"/>
  <c r="F842" i="26"/>
  <c r="F843" i="26"/>
  <c r="F844" i="26"/>
  <c r="F845" i="26"/>
  <c r="F846" i="26"/>
  <c r="F847" i="26"/>
  <c r="F848" i="26"/>
  <c r="F849" i="26"/>
  <c r="F850" i="26"/>
  <c r="F851" i="26"/>
  <c r="F852" i="26"/>
  <c r="F853" i="26"/>
  <c r="F854" i="26"/>
  <c r="F855" i="26"/>
  <c r="F856" i="26"/>
  <c r="F857" i="26"/>
  <c r="F858" i="26"/>
  <c r="F859" i="26"/>
  <c r="F860" i="26"/>
  <c r="F861" i="26"/>
  <c r="F862" i="26"/>
  <c r="F863" i="26"/>
  <c r="F864" i="26"/>
  <c r="F865" i="26"/>
  <c r="F866" i="26"/>
  <c r="F867" i="26"/>
  <c r="F868" i="26"/>
  <c r="F869" i="26"/>
  <c r="F870" i="26"/>
  <c r="F871" i="26"/>
  <c r="F872" i="26"/>
  <c r="F873" i="26"/>
  <c r="F874" i="26"/>
  <c r="F875" i="26"/>
  <c r="F876" i="26"/>
  <c r="F877" i="26"/>
  <c r="F878" i="26"/>
  <c r="F879" i="26"/>
  <c r="F880" i="26"/>
  <c r="F881" i="26"/>
  <c r="F882" i="26"/>
  <c r="F883" i="26"/>
  <c r="F884" i="26"/>
  <c r="F885" i="26"/>
  <c r="F886" i="26"/>
  <c r="F887" i="26"/>
  <c r="F888" i="26"/>
  <c r="F889" i="26"/>
  <c r="F890" i="26"/>
  <c r="F891" i="26"/>
  <c r="F892" i="26"/>
  <c r="F893" i="26"/>
  <c r="F894" i="26"/>
  <c r="F895" i="26"/>
  <c r="F896" i="26"/>
  <c r="F897" i="26"/>
  <c r="F898" i="26"/>
  <c r="F899" i="26"/>
  <c r="F900" i="26"/>
  <c r="F901" i="26"/>
  <c r="F902" i="26"/>
  <c r="F903" i="26"/>
  <c r="F904" i="26"/>
  <c r="F905" i="26"/>
  <c r="F906" i="26"/>
  <c r="F907" i="26"/>
  <c r="F908" i="26"/>
  <c r="F909" i="26"/>
  <c r="F910" i="26"/>
  <c r="F911" i="26"/>
  <c r="F912" i="26"/>
  <c r="F913" i="26"/>
  <c r="F914" i="26"/>
  <c r="F915" i="26"/>
  <c r="F916" i="26"/>
  <c r="F917" i="26"/>
  <c r="F918" i="26"/>
  <c r="F919" i="26"/>
  <c r="F920" i="26"/>
  <c r="F921" i="26"/>
  <c r="F922" i="26"/>
  <c r="F923" i="26"/>
  <c r="F924" i="26"/>
  <c r="F925" i="26"/>
  <c r="F926" i="26"/>
  <c r="F927" i="26"/>
  <c r="F928" i="26"/>
  <c r="F929" i="26"/>
  <c r="F930" i="26"/>
  <c r="F931" i="26"/>
  <c r="F932" i="26"/>
  <c r="F933" i="26"/>
  <c r="F934" i="26"/>
  <c r="F935" i="26"/>
  <c r="F936" i="26"/>
  <c r="F937" i="26"/>
  <c r="F938" i="26"/>
  <c r="F939" i="26"/>
  <c r="F940" i="26"/>
  <c r="F941" i="26"/>
  <c r="F942" i="26"/>
  <c r="F943" i="26"/>
  <c r="F944" i="26"/>
  <c r="K134" i="11"/>
  <c r="J134" i="11"/>
  <c r="I134" i="11"/>
  <c r="H134" i="11"/>
  <c r="H109" i="11" l="1"/>
  <c r="H108" i="11"/>
  <c r="K109" i="11"/>
  <c r="J109" i="11"/>
  <c r="I109" i="11"/>
  <c r="K108" i="11"/>
  <c r="J108" i="11"/>
  <c r="I108" i="11"/>
  <c r="A108" i="11"/>
  <c r="A109" i="29" s="1"/>
  <c r="A109" i="11"/>
  <c r="A110" i="29" s="1"/>
  <c r="A134" i="11"/>
  <c r="M134" i="11" l="1"/>
  <c r="A135" i="29"/>
  <c r="M108" i="11"/>
  <c r="M109" i="11"/>
  <c r="D56" i="6"/>
  <c r="C56" i="6"/>
  <c r="B56" i="6"/>
  <c r="B2" i="9" l="1"/>
  <c r="D2" i="9"/>
  <c r="B2" i="8"/>
  <c r="D2" i="8"/>
  <c r="H50" i="6" l="1"/>
  <c r="H31" i="6"/>
  <c r="H35" i="4"/>
  <c r="A5" i="11"/>
  <c r="A7" i="29" s="1"/>
  <c r="A6" i="11"/>
  <c r="A7" i="11"/>
  <c r="A9" i="29" s="1"/>
  <c r="A8" i="11"/>
  <c r="A10" i="29" s="1"/>
  <c r="A9" i="11"/>
  <c r="A11" i="29" s="1"/>
  <c r="A10" i="11"/>
  <c r="A12" i="29" s="1"/>
  <c r="A11" i="11"/>
  <c r="A13" i="29" s="1"/>
  <c r="A12" i="11"/>
  <c r="A14" i="29" s="1"/>
  <c r="A13" i="11"/>
  <c r="A15" i="29" s="1"/>
  <c r="A14" i="11"/>
  <c r="A16" i="29" s="1"/>
  <c r="A15" i="11"/>
  <c r="A17" i="29" s="1"/>
  <c r="A16" i="11"/>
  <c r="A18" i="29" s="1"/>
  <c r="A17" i="11"/>
  <c r="A19" i="29" s="1"/>
  <c r="A18" i="11"/>
  <c r="A20" i="29" s="1"/>
  <c r="A19" i="11"/>
  <c r="A20" i="11"/>
  <c r="A21" i="11"/>
  <c r="A23" i="29" s="1"/>
  <c r="A22" i="11"/>
  <c r="A24" i="29" s="1"/>
  <c r="A23" i="11"/>
  <c r="A25" i="29" s="1"/>
  <c r="A24" i="11"/>
  <c r="A26" i="29" s="1"/>
  <c r="A25" i="11"/>
  <c r="A27" i="29" s="1"/>
  <c r="A26" i="11"/>
  <c r="A28" i="29" s="1"/>
  <c r="A27" i="11"/>
  <c r="A29" i="29" s="1"/>
  <c r="A28" i="11"/>
  <c r="A30" i="29" s="1"/>
  <c r="A29" i="11"/>
  <c r="A31" i="29" s="1"/>
  <c r="A30" i="11"/>
  <c r="A32" i="29" s="1"/>
  <c r="A31" i="11"/>
  <c r="A33" i="29" s="1"/>
  <c r="A32" i="11"/>
  <c r="A34" i="29" s="1"/>
  <c r="A33" i="11"/>
  <c r="A35" i="29" s="1"/>
  <c r="A34" i="11"/>
  <c r="A35" i="11"/>
  <c r="A36" i="11"/>
  <c r="A38" i="29" s="1"/>
  <c r="A37" i="11"/>
  <c r="A39" i="29" s="1"/>
  <c r="A38" i="11"/>
  <c r="A40" i="29" s="1"/>
  <c r="A39" i="11"/>
  <c r="A41" i="29" s="1"/>
  <c r="A40" i="11"/>
  <c r="A42" i="29" s="1"/>
  <c r="A41" i="11"/>
  <c r="A43" i="29" s="1"/>
  <c r="A42" i="11"/>
  <c r="A44" i="29" s="1"/>
  <c r="A43" i="11"/>
  <c r="A45" i="29" s="1"/>
  <c r="A44" i="11"/>
  <c r="A46" i="29" s="1"/>
  <c r="A45" i="11"/>
  <c r="A47" i="29" s="1"/>
  <c r="A46" i="11"/>
  <c r="A47" i="11"/>
  <c r="A49" i="29" s="1"/>
  <c r="A48" i="11"/>
  <c r="A50" i="29" s="1"/>
  <c r="A49" i="11"/>
  <c r="A51" i="29" s="1"/>
  <c r="A50" i="11"/>
  <c r="A51" i="11"/>
  <c r="A53" i="29" s="1"/>
  <c r="A52" i="11"/>
  <c r="A54" i="29" s="1"/>
  <c r="A53" i="11"/>
  <c r="A55" i="29" s="1"/>
  <c r="A55" i="11"/>
  <c r="A56" i="29" s="1"/>
  <c r="A56" i="11"/>
  <c r="A57" i="29" s="1"/>
  <c r="A57" i="11"/>
  <c r="A58" i="29" s="1"/>
  <c r="A58" i="11"/>
  <c r="A59" i="29" s="1"/>
  <c r="A59" i="11"/>
  <c r="A60" i="11"/>
  <c r="A61" i="11"/>
  <c r="A62" i="29" s="1"/>
  <c r="A62" i="11"/>
  <c r="A63" i="29" s="1"/>
  <c r="A63" i="11"/>
  <c r="A64" i="29" s="1"/>
  <c r="A64" i="11"/>
  <c r="A65" i="11"/>
  <c r="A66" i="29" s="1"/>
  <c r="A66" i="11"/>
  <c r="A67" i="11"/>
  <c r="A68" i="29" s="1"/>
  <c r="A68" i="11"/>
  <c r="A69" i="29" s="1"/>
  <c r="A70" i="11"/>
  <c r="A71" i="11"/>
  <c r="A72" i="29" s="1"/>
  <c r="A72" i="11"/>
  <c r="A74" i="11"/>
  <c r="A75" i="29" s="1"/>
  <c r="A75" i="11"/>
  <c r="A76" i="29" s="1"/>
  <c r="A76" i="11"/>
  <c r="A77" i="11"/>
  <c r="A78" i="29" s="1"/>
  <c r="A78" i="11"/>
  <c r="A79" i="11"/>
  <c r="A80" i="29" s="1"/>
  <c r="A80" i="11"/>
  <c r="A81" i="29" s="1"/>
  <c r="A81" i="11"/>
  <c r="A82" i="29" s="1"/>
  <c r="A82" i="11"/>
  <c r="A83" i="29" s="1"/>
  <c r="A83" i="11"/>
  <c r="A84" i="29" s="1"/>
  <c r="A84" i="11"/>
  <c r="A85" i="29" s="1"/>
  <c r="A85" i="11"/>
  <c r="A86" i="11"/>
  <c r="A87" i="29" s="1"/>
  <c r="A87" i="11"/>
  <c r="A88" i="29" s="1"/>
  <c r="A88" i="11"/>
  <c r="A89" i="11"/>
  <c r="A90" i="11"/>
  <c r="A91" i="29" s="1"/>
  <c r="A91" i="11"/>
  <c r="A92" i="29" s="1"/>
  <c r="A92" i="11"/>
  <c r="A93" i="29" s="1"/>
  <c r="A93" i="11"/>
  <c r="A94" i="11"/>
  <c r="A95" i="29" s="1"/>
  <c r="A95" i="11"/>
  <c r="A96" i="29" s="1"/>
  <c r="A96" i="11"/>
  <c r="A97" i="29" s="1"/>
  <c r="A98" i="11"/>
  <c r="A99" i="29" s="1"/>
  <c r="A99" i="11"/>
  <c r="A100" i="29" s="1"/>
  <c r="A100" i="11"/>
  <c r="A101" i="29" s="1"/>
  <c r="A101" i="11"/>
  <c r="A102" i="29" s="1"/>
  <c r="A102" i="11"/>
  <c r="A103" i="29" s="1"/>
  <c r="A103" i="11"/>
  <c r="A104" i="29" s="1"/>
  <c r="A104" i="11"/>
  <c r="A105" i="29" s="1"/>
  <c r="A105" i="11"/>
  <c r="A106" i="29" s="1"/>
  <c r="A106" i="11"/>
  <c r="A107" i="29" s="1"/>
  <c r="A107" i="11"/>
  <c r="A108" i="29" s="1"/>
  <c r="A110" i="11"/>
  <c r="A111" i="29" s="1"/>
  <c r="A111" i="11"/>
  <c r="A112" i="29" s="1"/>
  <c r="A112" i="11"/>
  <c r="A113" i="29" s="1"/>
  <c r="A113" i="11"/>
  <c r="A114" i="29" s="1"/>
  <c r="A114" i="11"/>
  <c r="A115" i="29" s="1"/>
  <c r="A115" i="11"/>
  <c r="A116" i="29" s="1"/>
  <c r="A116" i="11"/>
  <c r="A117" i="29" s="1"/>
  <c r="A117" i="11"/>
  <c r="A118" i="29" s="1"/>
  <c r="A118" i="11"/>
  <c r="A119" i="29" s="1"/>
  <c r="A120" i="11"/>
  <c r="A121" i="29" s="1"/>
  <c r="A121" i="11"/>
  <c r="A122" i="29" s="1"/>
  <c r="A122" i="11"/>
  <c r="A123" i="11"/>
  <c r="A124" i="11"/>
  <c r="A125" i="29" s="1"/>
  <c r="A125" i="11"/>
  <c r="A126" i="29" s="1"/>
  <c r="A126" i="11"/>
  <c r="A127" i="29" s="1"/>
  <c r="A127" i="11"/>
  <c r="A128" i="11"/>
  <c r="A129" i="29" s="1"/>
  <c r="A129" i="11"/>
  <c r="A130" i="11"/>
  <c r="A131" i="29" s="1"/>
  <c r="A131" i="11"/>
  <c r="A132" i="29" s="1"/>
  <c r="A132" i="11"/>
  <c r="A133" i="29" s="1"/>
  <c r="A133" i="11"/>
  <c r="A135" i="11"/>
  <c r="A136" i="11"/>
  <c r="A137" i="29" s="1"/>
  <c r="A137" i="11"/>
  <c r="A138" i="11"/>
  <c r="A139" i="11"/>
  <c r="A140" i="29" s="1"/>
  <c r="A140" i="11"/>
  <c r="A141" i="29" s="1"/>
  <c r="A141" i="11"/>
  <c r="A142" i="29" s="1"/>
  <c r="A142" i="11"/>
  <c r="A143" i="11"/>
  <c r="A144" i="29" s="1"/>
  <c r="A144" i="11"/>
  <c r="A146" i="11"/>
  <c r="A146" i="29" s="1"/>
  <c r="A147" i="11"/>
  <c r="A148" i="11"/>
  <c r="A150" i="11"/>
  <c r="A149" i="29" s="1"/>
  <c r="A151" i="11"/>
  <c r="A150" i="29" s="1"/>
  <c r="A153" i="11"/>
  <c r="A152" i="29" s="1"/>
  <c r="A154" i="11"/>
  <c r="A153" i="29" s="1"/>
  <c r="A155" i="11"/>
  <c r="A156" i="11"/>
  <c r="A157" i="11"/>
  <c r="A158" i="11"/>
  <c r="A159" i="11"/>
  <c r="A158" i="29" s="1"/>
  <c r="A160" i="11"/>
  <c r="A159" i="29" s="1"/>
  <c r="A161" i="11"/>
  <c r="A160" i="29" s="1"/>
  <c r="A162" i="11"/>
  <c r="A161" i="29" s="1"/>
  <c r="A163" i="11"/>
  <c r="A162" i="29" s="1"/>
  <c r="A164" i="11"/>
  <c r="A165" i="11"/>
  <c r="A164" i="29" s="1"/>
  <c r="A166" i="11"/>
  <c r="A165" i="29" s="1"/>
  <c r="A167" i="11"/>
  <c r="A166" i="29" s="1"/>
  <c r="A168" i="11"/>
  <c r="A167" i="29" s="1"/>
  <c r="A169" i="11"/>
  <c r="A168" i="29" s="1"/>
  <c r="A170" i="11"/>
  <c r="A171" i="11"/>
  <c r="A172" i="11"/>
  <c r="A171" i="29" s="1"/>
  <c r="A173" i="11"/>
  <c r="A172" i="29" s="1"/>
  <c r="A174" i="11"/>
  <c r="A173" i="29" s="1"/>
  <c r="A175" i="11"/>
  <c r="A176" i="11"/>
  <c r="A175" i="29" s="1"/>
  <c r="A177" i="11"/>
  <c r="A176" i="29" s="1"/>
  <c r="A178" i="11"/>
  <c r="A177" i="29" s="1"/>
  <c r="A179" i="11"/>
  <c r="A178" i="29" s="1"/>
  <c r="A180" i="11"/>
  <c r="A179" i="29" s="1"/>
  <c r="A181" i="11"/>
  <c r="A180" i="29" s="1"/>
  <c r="A182" i="11"/>
  <c r="A183" i="11"/>
  <c r="A184" i="11"/>
  <c r="A183" i="29" s="1"/>
  <c r="A185" i="11"/>
  <c r="A186" i="11"/>
  <c r="A187" i="11"/>
  <c r="A186" i="29" s="1"/>
  <c r="A188" i="11"/>
  <c r="A187" i="29" s="1"/>
  <c r="A189" i="11"/>
  <c r="A188" i="29" s="1"/>
  <c r="A190" i="11"/>
  <c r="A191" i="11"/>
  <c r="A190" i="29" s="1"/>
  <c r="A192" i="11"/>
  <c r="A193" i="11"/>
  <c r="A192" i="29" s="1"/>
  <c r="A194" i="11"/>
  <c r="A195" i="11"/>
  <c r="A194" i="29" s="1"/>
  <c r="A196" i="11"/>
  <c r="A197" i="11"/>
  <c r="A198" i="11"/>
  <c r="A200" i="11"/>
  <c r="A199" i="29" s="1"/>
  <c r="A201" i="11"/>
  <c r="A200" i="29" s="1"/>
  <c r="A202" i="11"/>
  <c r="A201" i="29" s="1"/>
  <c r="A203" i="11"/>
  <c r="A202" i="29" s="1"/>
  <c r="A204" i="11"/>
  <c r="A203" i="29" s="1"/>
  <c r="A205" i="11"/>
  <c r="A204" i="29" s="1"/>
  <c r="A206" i="11"/>
  <c r="A205" i="29" s="1"/>
  <c r="A207" i="11"/>
  <c r="A206" i="29" s="1"/>
  <c r="A2" i="11"/>
  <c r="K207" i="11"/>
  <c r="J207" i="11"/>
  <c r="I207" i="11"/>
  <c r="H207" i="11"/>
  <c r="K206" i="11"/>
  <c r="J206" i="11"/>
  <c r="I206" i="11"/>
  <c r="H206" i="11"/>
  <c r="K205" i="11"/>
  <c r="J205" i="11"/>
  <c r="I205" i="11"/>
  <c r="H205" i="11"/>
  <c r="K204" i="11"/>
  <c r="J204" i="11"/>
  <c r="I204" i="11"/>
  <c r="H204" i="11"/>
  <c r="K203" i="11"/>
  <c r="J203" i="11"/>
  <c r="I203" i="11"/>
  <c r="H203" i="11"/>
  <c r="K202" i="11"/>
  <c r="J202" i="11"/>
  <c r="I202" i="11"/>
  <c r="H202" i="11"/>
  <c r="K201" i="11"/>
  <c r="J201" i="11"/>
  <c r="I201" i="11"/>
  <c r="H201" i="11"/>
  <c r="K200" i="11"/>
  <c r="J200" i="11"/>
  <c r="I200" i="11"/>
  <c r="H200" i="11"/>
  <c r="K198" i="11"/>
  <c r="J198" i="11"/>
  <c r="I198" i="11"/>
  <c r="H198" i="11"/>
  <c r="K197" i="11"/>
  <c r="J197" i="11"/>
  <c r="I197" i="11"/>
  <c r="H197" i="11"/>
  <c r="K196" i="11"/>
  <c r="J196" i="11"/>
  <c r="I196" i="11"/>
  <c r="H196" i="11"/>
  <c r="K195" i="11"/>
  <c r="J195" i="11"/>
  <c r="I195" i="11"/>
  <c r="H195" i="11"/>
  <c r="K194" i="11"/>
  <c r="J194" i="11"/>
  <c r="I194" i="11"/>
  <c r="H194" i="11"/>
  <c r="K193" i="11"/>
  <c r="J193" i="11"/>
  <c r="I193" i="11"/>
  <c r="H193" i="11"/>
  <c r="K192" i="11"/>
  <c r="J192" i="11"/>
  <c r="I192" i="11"/>
  <c r="H192" i="11"/>
  <c r="K191" i="11"/>
  <c r="J191" i="11"/>
  <c r="I191" i="11"/>
  <c r="H191" i="11"/>
  <c r="K190" i="11"/>
  <c r="J190" i="11"/>
  <c r="I190" i="11"/>
  <c r="H190" i="11"/>
  <c r="K189" i="11"/>
  <c r="J189" i="11"/>
  <c r="I189" i="11"/>
  <c r="H189" i="11"/>
  <c r="K188" i="11"/>
  <c r="J188" i="11"/>
  <c r="I188" i="11"/>
  <c r="H188" i="11"/>
  <c r="K187" i="11"/>
  <c r="J187" i="11"/>
  <c r="I187" i="11"/>
  <c r="H187" i="11"/>
  <c r="K186" i="11"/>
  <c r="J186" i="11"/>
  <c r="I186" i="11"/>
  <c r="H186" i="11"/>
  <c r="K185" i="11"/>
  <c r="J185" i="11"/>
  <c r="I185" i="11"/>
  <c r="H185" i="11"/>
  <c r="K184" i="11"/>
  <c r="J184" i="11"/>
  <c r="I184" i="11"/>
  <c r="H184" i="11"/>
  <c r="K182" i="11"/>
  <c r="J182" i="11"/>
  <c r="I182" i="11"/>
  <c r="H182" i="11"/>
  <c r="K181" i="11"/>
  <c r="J181" i="11"/>
  <c r="I181" i="11"/>
  <c r="H181" i="11"/>
  <c r="K180" i="11"/>
  <c r="J180" i="11"/>
  <c r="I180" i="11"/>
  <c r="H180" i="11"/>
  <c r="K179" i="11"/>
  <c r="J179" i="11"/>
  <c r="I179" i="11"/>
  <c r="H179" i="11"/>
  <c r="K178" i="11"/>
  <c r="J178" i="11"/>
  <c r="I178" i="11"/>
  <c r="H178" i="11"/>
  <c r="K177" i="11"/>
  <c r="J177" i="11"/>
  <c r="I177" i="11"/>
  <c r="H177" i="11"/>
  <c r="K176" i="11"/>
  <c r="J176" i="11"/>
  <c r="I176" i="11"/>
  <c r="H176" i="11"/>
  <c r="K175" i="11"/>
  <c r="J175" i="11"/>
  <c r="I175" i="11"/>
  <c r="H175" i="11"/>
  <c r="K174" i="11"/>
  <c r="J174" i="11"/>
  <c r="I174" i="11"/>
  <c r="H174" i="11"/>
  <c r="K173" i="11"/>
  <c r="J173" i="11"/>
  <c r="I173" i="11"/>
  <c r="H173" i="11"/>
  <c r="K172" i="11"/>
  <c r="J172" i="11"/>
  <c r="I172" i="11"/>
  <c r="H172" i="11"/>
  <c r="K171" i="11"/>
  <c r="J171" i="11"/>
  <c r="I171" i="11"/>
  <c r="H171" i="11"/>
  <c r="K170" i="11"/>
  <c r="J170" i="11"/>
  <c r="I170" i="11"/>
  <c r="H170" i="11"/>
  <c r="K169" i="11"/>
  <c r="J169" i="11"/>
  <c r="I169" i="11"/>
  <c r="H169" i="11"/>
  <c r="K168" i="11"/>
  <c r="J168" i="11"/>
  <c r="I168" i="11"/>
  <c r="H168" i="11"/>
  <c r="K167" i="11"/>
  <c r="J167" i="11"/>
  <c r="I167" i="11"/>
  <c r="H167" i="11"/>
  <c r="K166" i="11"/>
  <c r="J166" i="11"/>
  <c r="I166" i="11"/>
  <c r="H166" i="11"/>
  <c r="K165" i="11"/>
  <c r="J165" i="11"/>
  <c r="I165" i="11"/>
  <c r="H165" i="11"/>
  <c r="K164" i="11"/>
  <c r="J164" i="11"/>
  <c r="I164" i="11"/>
  <c r="H164" i="11"/>
  <c r="K163" i="11"/>
  <c r="J163" i="11"/>
  <c r="I163" i="11"/>
  <c r="H163" i="11"/>
  <c r="K162" i="11"/>
  <c r="J162" i="11"/>
  <c r="I162" i="11"/>
  <c r="H162" i="11"/>
  <c r="K161" i="11"/>
  <c r="J161" i="11"/>
  <c r="I161" i="11"/>
  <c r="H161" i="11"/>
  <c r="K160" i="11"/>
  <c r="J160" i="11"/>
  <c r="I160" i="11"/>
  <c r="H160" i="11"/>
  <c r="K159" i="11"/>
  <c r="J159" i="11"/>
  <c r="I159" i="11"/>
  <c r="H159" i="11"/>
  <c r="I158" i="11"/>
  <c r="H158" i="11"/>
  <c r="K157" i="11"/>
  <c r="J157" i="11"/>
  <c r="K156" i="11"/>
  <c r="I156" i="11"/>
  <c r="H156" i="11"/>
  <c r="K155" i="11"/>
  <c r="J155" i="11"/>
  <c r="I155" i="11"/>
  <c r="H155" i="11"/>
  <c r="J154" i="11"/>
  <c r="I154" i="11"/>
  <c r="H154" i="11"/>
  <c r="K153" i="11"/>
  <c r="H153" i="11"/>
  <c r="K151" i="11"/>
  <c r="J151" i="11"/>
  <c r="I151" i="11"/>
  <c r="H151" i="11"/>
  <c r="K150" i="11"/>
  <c r="J150" i="11"/>
  <c r="I150" i="11"/>
  <c r="H150" i="11"/>
  <c r="K148" i="11"/>
  <c r="J148" i="11"/>
  <c r="I148" i="11"/>
  <c r="H148" i="11"/>
  <c r="K147" i="11"/>
  <c r="J147" i="11"/>
  <c r="I147" i="11"/>
  <c r="H147" i="11"/>
  <c r="K146" i="11"/>
  <c r="J146" i="11"/>
  <c r="I146" i="11"/>
  <c r="H146" i="11"/>
  <c r="K144" i="11"/>
  <c r="J144" i="11"/>
  <c r="I144" i="11"/>
  <c r="H144" i="11"/>
  <c r="K143" i="11"/>
  <c r="J143" i="11"/>
  <c r="I143" i="11"/>
  <c r="H143" i="11"/>
  <c r="K142" i="11"/>
  <c r="J142" i="11"/>
  <c r="I142" i="11"/>
  <c r="H142" i="11"/>
  <c r="K141" i="11"/>
  <c r="J141" i="11"/>
  <c r="I141" i="11"/>
  <c r="H141" i="11"/>
  <c r="K140" i="11"/>
  <c r="J140" i="11"/>
  <c r="I140" i="11"/>
  <c r="H140" i="11"/>
  <c r="K139" i="11"/>
  <c r="J139" i="11"/>
  <c r="I139" i="11"/>
  <c r="H139" i="11"/>
  <c r="K138" i="11"/>
  <c r="J138" i="11"/>
  <c r="I138" i="11"/>
  <c r="H138" i="11"/>
  <c r="K137" i="11"/>
  <c r="J137" i="11"/>
  <c r="I137" i="11"/>
  <c r="H137" i="11"/>
  <c r="K136" i="11"/>
  <c r="J136" i="11"/>
  <c r="I136" i="11"/>
  <c r="H136" i="11"/>
  <c r="K135" i="11"/>
  <c r="J135" i="11"/>
  <c r="I135" i="11"/>
  <c r="H135" i="11"/>
  <c r="K133" i="11"/>
  <c r="J133" i="11"/>
  <c r="I133" i="11"/>
  <c r="H133" i="11"/>
  <c r="K132" i="11"/>
  <c r="J132" i="11"/>
  <c r="I132" i="11"/>
  <c r="H132" i="11"/>
  <c r="K131" i="11"/>
  <c r="J131" i="11"/>
  <c r="I131" i="11"/>
  <c r="H131" i="11"/>
  <c r="K130" i="11"/>
  <c r="J130" i="11"/>
  <c r="I130" i="11"/>
  <c r="H130" i="11"/>
  <c r="K129" i="11"/>
  <c r="J129" i="11"/>
  <c r="I129" i="11"/>
  <c r="H129" i="11"/>
  <c r="K128" i="11"/>
  <c r="J128" i="11"/>
  <c r="I128" i="11"/>
  <c r="H128" i="11"/>
  <c r="K127" i="11"/>
  <c r="J127" i="11"/>
  <c r="I127" i="11"/>
  <c r="H127" i="11"/>
  <c r="K126" i="11"/>
  <c r="J126" i="11"/>
  <c r="I126" i="11"/>
  <c r="H126" i="11"/>
  <c r="K125" i="11"/>
  <c r="J125" i="11"/>
  <c r="I125" i="11"/>
  <c r="H125" i="11"/>
  <c r="K123" i="11"/>
  <c r="J123" i="11"/>
  <c r="I123" i="11"/>
  <c r="H123" i="11"/>
  <c r="K122" i="11"/>
  <c r="J122" i="11"/>
  <c r="I122" i="11"/>
  <c r="H122" i="11"/>
  <c r="K121" i="11"/>
  <c r="J121" i="11"/>
  <c r="I121" i="11"/>
  <c r="H121" i="11"/>
  <c r="K120" i="11"/>
  <c r="J120" i="11"/>
  <c r="I120" i="11"/>
  <c r="H120" i="11"/>
  <c r="K118" i="11"/>
  <c r="J118" i="11"/>
  <c r="I118" i="11"/>
  <c r="H118" i="11"/>
  <c r="K117" i="11"/>
  <c r="J117" i="11"/>
  <c r="I117" i="11"/>
  <c r="H117" i="11"/>
  <c r="K116" i="11"/>
  <c r="J116" i="11"/>
  <c r="I116" i="11"/>
  <c r="H116" i="11"/>
  <c r="K115" i="11"/>
  <c r="J115" i="11"/>
  <c r="I115" i="11"/>
  <c r="H115" i="11"/>
  <c r="K114" i="11"/>
  <c r="J114" i="11"/>
  <c r="I114" i="11"/>
  <c r="H114" i="11"/>
  <c r="K113" i="11"/>
  <c r="J113" i="11"/>
  <c r="I113" i="11"/>
  <c r="H113" i="11"/>
  <c r="K112" i="11"/>
  <c r="J112" i="11"/>
  <c r="I112" i="11"/>
  <c r="H112" i="11"/>
  <c r="K111" i="11"/>
  <c r="J111" i="11"/>
  <c r="I111" i="11"/>
  <c r="H111" i="11"/>
  <c r="K110" i="11"/>
  <c r="J110" i="11"/>
  <c r="I110" i="11"/>
  <c r="H110" i="11"/>
  <c r="K107" i="11"/>
  <c r="J107" i="11"/>
  <c r="I107" i="11"/>
  <c r="H107" i="11"/>
  <c r="K106" i="11"/>
  <c r="J106" i="11"/>
  <c r="I106" i="11"/>
  <c r="H106" i="11"/>
  <c r="K105" i="11"/>
  <c r="J105" i="11"/>
  <c r="I105" i="11"/>
  <c r="H105" i="11"/>
  <c r="K104" i="11"/>
  <c r="J104" i="11"/>
  <c r="I104" i="11"/>
  <c r="H104" i="11"/>
  <c r="K103" i="11"/>
  <c r="J103" i="11"/>
  <c r="I103" i="11"/>
  <c r="H103" i="11"/>
  <c r="K102" i="11"/>
  <c r="J102" i="11"/>
  <c r="I102" i="11"/>
  <c r="H102" i="11"/>
  <c r="K101" i="11"/>
  <c r="J101" i="11"/>
  <c r="I101" i="11"/>
  <c r="H101" i="11"/>
  <c r="K100" i="11"/>
  <c r="J100" i="11"/>
  <c r="I100" i="11"/>
  <c r="H100" i="11"/>
  <c r="K99" i="11"/>
  <c r="J99" i="11"/>
  <c r="I99" i="11"/>
  <c r="H99" i="11"/>
  <c r="K98" i="11"/>
  <c r="J98" i="11"/>
  <c r="I98" i="11"/>
  <c r="H98" i="11"/>
  <c r="K96" i="11"/>
  <c r="J96" i="11"/>
  <c r="I96" i="11"/>
  <c r="H96" i="11"/>
  <c r="K94" i="11"/>
  <c r="J94" i="11"/>
  <c r="I94" i="11"/>
  <c r="H94" i="11"/>
  <c r="K93" i="11"/>
  <c r="J93" i="11"/>
  <c r="I93" i="11"/>
  <c r="H93" i="11"/>
  <c r="K92" i="11"/>
  <c r="J92" i="11"/>
  <c r="I92" i="11"/>
  <c r="H92" i="11"/>
  <c r="K91" i="11"/>
  <c r="J91" i="11"/>
  <c r="I91" i="11"/>
  <c r="H91" i="11"/>
  <c r="K90" i="11"/>
  <c r="J90" i="11"/>
  <c r="I90" i="11"/>
  <c r="H90" i="11"/>
  <c r="K89" i="11"/>
  <c r="J89" i="11"/>
  <c r="I89" i="11"/>
  <c r="H89" i="11"/>
  <c r="K88" i="11"/>
  <c r="J88" i="11"/>
  <c r="I88" i="11"/>
  <c r="H88" i="11"/>
  <c r="K87" i="11"/>
  <c r="J87" i="11"/>
  <c r="I87" i="11"/>
  <c r="H87" i="11"/>
  <c r="K86" i="11"/>
  <c r="J86" i="11"/>
  <c r="I86" i="11"/>
  <c r="H86" i="11"/>
  <c r="K85" i="11"/>
  <c r="J85" i="11"/>
  <c r="I85" i="11"/>
  <c r="H85" i="11"/>
  <c r="K84" i="11"/>
  <c r="J84" i="11"/>
  <c r="I84" i="11"/>
  <c r="H84" i="11"/>
  <c r="K83" i="11"/>
  <c r="J83" i="11"/>
  <c r="I83" i="11"/>
  <c r="H83" i="11"/>
  <c r="K82" i="11"/>
  <c r="J82" i="11"/>
  <c r="I82" i="11"/>
  <c r="H82" i="11"/>
  <c r="K81" i="11"/>
  <c r="J81" i="11"/>
  <c r="I81" i="11"/>
  <c r="H81" i="11"/>
  <c r="K80" i="11"/>
  <c r="J80" i="11"/>
  <c r="I80" i="11"/>
  <c r="H80" i="11"/>
  <c r="K79" i="11"/>
  <c r="J79" i="11"/>
  <c r="I79" i="11"/>
  <c r="H79" i="11"/>
  <c r="K78" i="11"/>
  <c r="J78" i="11"/>
  <c r="I78" i="11"/>
  <c r="H78" i="11"/>
  <c r="K77" i="11"/>
  <c r="J77" i="11"/>
  <c r="I77" i="11"/>
  <c r="H77" i="11"/>
  <c r="K76" i="11"/>
  <c r="J76" i="11"/>
  <c r="I76" i="11"/>
  <c r="H76" i="11"/>
  <c r="K75" i="11"/>
  <c r="J75" i="11"/>
  <c r="I75" i="11"/>
  <c r="H75" i="11"/>
  <c r="K74" i="11"/>
  <c r="J74" i="11"/>
  <c r="I74" i="11"/>
  <c r="H74" i="11"/>
  <c r="K72" i="11"/>
  <c r="J72" i="11"/>
  <c r="I72" i="11"/>
  <c r="H72" i="11"/>
  <c r="K71" i="11"/>
  <c r="J71" i="11"/>
  <c r="I71" i="11"/>
  <c r="H71" i="11"/>
  <c r="K70" i="11"/>
  <c r="J70" i="11"/>
  <c r="I70" i="11"/>
  <c r="H70" i="11"/>
  <c r="K68" i="11"/>
  <c r="J68" i="11"/>
  <c r="I68" i="11"/>
  <c r="H68" i="11"/>
  <c r="K67" i="11"/>
  <c r="J67" i="11"/>
  <c r="I67" i="11"/>
  <c r="H67" i="11"/>
  <c r="K66" i="11"/>
  <c r="J66" i="11"/>
  <c r="I66" i="11"/>
  <c r="H66" i="11"/>
  <c r="K65" i="11"/>
  <c r="J65" i="11"/>
  <c r="I65" i="11"/>
  <c r="H65" i="11"/>
  <c r="K64" i="11"/>
  <c r="J64" i="11"/>
  <c r="I64" i="11"/>
  <c r="H64" i="11"/>
  <c r="K63" i="11"/>
  <c r="J63" i="11"/>
  <c r="I63" i="11"/>
  <c r="H63" i="11"/>
  <c r="K62" i="11"/>
  <c r="J62" i="11"/>
  <c r="I62" i="11"/>
  <c r="H62" i="11"/>
  <c r="K61" i="11"/>
  <c r="J61" i="11"/>
  <c r="I61" i="11"/>
  <c r="H61" i="11"/>
  <c r="K60" i="11"/>
  <c r="J60" i="11"/>
  <c r="I60" i="11"/>
  <c r="H60" i="11"/>
  <c r="K59" i="11"/>
  <c r="J59" i="11"/>
  <c r="I59" i="11"/>
  <c r="H59" i="11"/>
  <c r="K58" i="11"/>
  <c r="J58" i="11"/>
  <c r="I58" i="11"/>
  <c r="H58" i="11"/>
  <c r="K56" i="11"/>
  <c r="J56" i="11"/>
  <c r="I56" i="11"/>
  <c r="H56" i="11"/>
  <c r="K55" i="11"/>
  <c r="J55" i="11"/>
  <c r="I55" i="11"/>
  <c r="H55" i="11"/>
  <c r="K53" i="11"/>
  <c r="J53" i="11"/>
  <c r="I53" i="11"/>
  <c r="H53" i="11"/>
  <c r="K52" i="11"/>
  <c r="J52" i="11"/>
  <c r="I52" i="11"/>
  <c r="H52" i="11"/>
  <c r="K51" i="11"/>
  <c r="J51" i="11"/>
  <c r="I51" i="11"/>
  <c r="H51" i="11"/>
  <c r="K50" i="11"/>
  <c r="J50" i="11"/>
  <c r="I50" i="11"/>
  <c r="H50" i="11"/>
  <c r="K49" i="11"/>
  <c r="J49" i="11"/>
  <c r="I49" i="11"/>
  <c r="H49" i="11"/>
  <c r="K48" i="11"/>
  <c r="J48" i="11"/>
  <c r="I48" i="11"/>
  <c r="H48" i="11"/>
  <c r="K47" i="11"/>
  <c r="J47" i="11"/>
  <c r="I47" i="11"/>
  <c r="H47" i="11"/>
  <c r="K46" i="11"/>
  <c r="J46" i="11"/>
  <c r="I46" i="11"/>
  <c r="H46" i="11"/>
  <c r="K45" i="11"/>
  <c r="J45" i="11"/>
  <c r="I45" i="11"/>
  <c r="H45" i="11"/>
  <c r="K44" i="11"/>
  <c r="J44" i="11"/>
  <c r="I44" i="11"/>
  <c r="H44" i="11"/>
  <c r="K43" i="11"/>
  <c r="J43" i="11"/>
  <c r="I43" i="11"/>
  <c r="H43" i="11"/>
  <c r="K42" i="11"/>
  <c r="J42" i="11"/>
  <c r="I42" i="11"/>
  <c r="H42" i="11"/>
  <c r="K41" i="11"/>
  <c r="J41" i="11"/>
  <c r="I41" i="11"/>
  <c r="H41" i="11"/>
  <c r="K39" i="11"/>
  <c r="J39" i="11"/>
  <c r="I39" i="11"/>
  <c r="H39" i="11"/>
  <c r="K38" i="11"/>
  <c r="J38" i="11"/>
  <c r="I38" i="11"/>
  <c r="H38" i="11"/>
  <c r="K37" i="11"/>
  <c r="J37" i="11"/>
  <c r="I37" i="11"/>
  <c r="H37" i="11"/>
  <c r="K36" i="11"/>
  <c r="J36" i="11"/>
  <c r="I36" i="11"/>
  <c r="H36" i="11"/>
  <c r="K35" i="11"/>
  <c r="J35" i="11"/>
  <c r="I35" i="11"/>
  <c r="H35" i="11"/>
  <c r="K34" i="11"/>
  <c r="J34" i="11"/>
  <c r="I34" i="11"/>
  <c r="H34" i="11"/>
  <c r="K33" i="11"/>
  <c r="J33" i="11"/>
  <c r="I33" i="11"/>
  <c r="H33" i="11"/>
  <c r="K32" i="11"/>
  <c r="J32" i="11"/>
  <c r="I32" i="11"/>
  <c r="H32" i="11"/>
  <c r="K31" i="11"/>
  <c r="J31" i="11"/>
  <c r="I31" i="11"/>
  <c r="H31" i="11"/>
  <c r="K30" i="11"/>
  <c r="J30" i="11"/>
  <c r="I30" i="11"/>
  <c r="H30" i="11"/>
  <c r="K29" i="11"/>
  <c r="J29" i="11"/>
  <c r="I29" i="11"/>
  <c r="H29" i="11"/>
  <c r="K28" i="11"/>
  <c r="J28" i="11"/>
  <c r="I28" i="11"/>
  <c r="H28" i="11"/>
  <c r="K27" i="11"/>
  <c r="J27" i="11"/>
  <c r="I27" i="11"/>
  <c r="H27" i="11"/>
  <c r="K26" i="11"/>
  <c r="J26" i="11"/>
  <c r="I26" i="11"/>
  <c r="H26" i="11"/>
  <c r="K25" i="11"/>
  <c r="J25" i="11"/>
  <c r="I25" i="11"/>
  <c r="H25" i="11"/>
  <c r="K24" i="11"/>
  <c r="J24" i="11"/>
  <c r="I24" i="11"/>
  <c r="H24" i="11"/>
  <c r="K23" i="11"/>
  <c r="J23" i="11"/>
  <c r="I23" i="11"/>
  <c r="H23" i="11"/>
  <c r="K22" i="11"/>
  <c r="J22" i="11"/>
  <c r="I22" i="11"/>
  <c r="H22" i="11"/>
  <c r="K21" i="11"/>
  <c r="J21" i="11"/>
  <c r="I21" i="11"/>
  <c r="H21" i="11"/>
  <c r="K20" i="11"/>
  <c r="J20" i="11"/>
  <c r="I20" i="11"/>
  <c r="H20" i="11"/>
  <c r="K19" i="11"/>
  <c r="J19" i="11"/>
  <c r="I19" i="11"/>
  <c r="H19" i="11"/>
  <c r="K18" i="11"/>
  <c r="J18" i="11"/>
  <c r="I18" i="11"/>
  <c r="H18" i="11"/>
  <c r="K17" i="11"/>
  <c r="J17" i="11"/>
  <c r="I17" i="11"/>
  <c r="H17" i="11"/>
  <c r="K16" i="11"/>
  <c r="J16" i="11"/>
  <c r="I16" i="11"/>
  <c r="H16" i="11"/>
  <c r="K15" i="11"/>
  <c r="J15" i="11"/>
  <c r="I15" i="11"/>
  <c r="H15" i="11"/>
  <c r="K13" i="11"/>
  <c r="J13" i="11"/>
  <c r="I13" i="11"/>
  <c r="H13" i="11"/>
  <c r="K12" i="11"/>
  <c r="J12" i="11"/>
  <c r="I12" i="11"/>
  <c r="H12" i="11"/>
  <c r="K11" i="11"/>
  <c r="J11" i="11"/>
  <c r="I11" i="11"/>
  <c r="H11" i="11"/>
  <c r="K10" i="11"/>
  <c r="J10" i="11"/>
  <c r="I10" i="11"/>
  <c r="H10" i="11"/>
  <c r="K9" i="11"/>
  <c r="J9" i="11"/>
  <c r="I9" i="11"/>
  <c r="H9" i="11"/>
  <c r="K8" i="11"/>
  <c r="J8" i="11"/>
  <c r="I8" i="11"/>
  <c r="H8" i="11"/>
  <c r="K7" i="11"/>
  <c r="J7" i="11"/>
  <c r="I7" i="11"/>
  <c r="H7" i="11"/>
  <c r="K6" i="11"/>
  <c r="J6" i="11"/>
  <c r="I6" i="11"/>
  <c r="H6" i="11"/>
  <c r="K5" i="11"/>
  <c r="J5" i="11"/>
  <c r="I5" i="11"/>
  <c r="H5" i="11"/>
  <c r="K2" i="11"/>
  <c r="J2" i="11"/>
  <c r="I2" i="11"/>
  <c r="H2" i="11"/>
  <c r="D6" i="27"/>
  <c r="D7" i="27"/>
  <c r="D8" i="27"/>
  <c r="D9" i="27"/>
  <c r="D10" i="27"/>
  <c r="D11" i="27"/>
  <c r="D12" i="27"/>
  <c r="D13" i="27"/>
  <c r="D14" i="27"/>
  <c r="D15" i="27"/>
  <c r="D16" i="27"/>
  <c r="D17" i="27"/>
  <c r="D18" i="27"/>
  <c r="D19" i="27"/>
  <c r="D20" i="27"/>
  <c r="D21" i="27"/>
  <c r="D22" i="27"/>
  <c r="D23" i="27"/>
  <c r="D24" i="27"/>
  <c r="D25" i="27"/>
  <c r="D26" i="27"/>
  <c r="D27" i="27"/>
  <c r="D28" i="27"/>
  <c r="D29" i="27"/>
  <c r="D30" i="27"/>
  <c r="D31" i="27"/>
  <c r="D32" i="27"/>
  <c r="D33" i="27"/>
  <c r="D34" i="27"/>
  <c r="D35" i="27"/>
  <c r="D36" i="27"/>
  <c r="D37" i="27"/>
  <c r="D38" i="27"/>
  <c r="D39" i="27"/>
  <c r="D40" i="27"/>
  <c r="D41" i="27"/>
  <c r="D42" i="27"/>
  <c r="D43" i="27"/>
  <c r="D44" i="27"/>
  <c r="D45" i="27"/>
  <c r="D46" i="27"/>
  <c r="D47" i="27"/>
  <c r="D48" i="27"/>
  <c r="D49" i="27"/>
  <c r="D50" i="27"/>
  <c r="D51" i="27"/>
  <c r="D52" i="27"/>
  <c r="D53" i="27"/>
  <c r="D54" i="27"/>
  <c r="D55" i="27"/>
  <c r="D56" i="27"/>
  <c r="D57" i="27"/>
  <c r="D58" i="27"/>
  <c r="D59" i="27"/>
  <c r="D60" i="27"/>
  <c r="D61" i="27"/>
  <c r="D62" i="27"/>
  <c r="D63" i="27"/>
  <c r="D64" i="27"/>
  <c r="D65" i="27"/>
  <c r="D66" i="27"/>
  <c r="D67" i="27"/>
  <c r="D68" i="27"/>
  <c r="D69" i="27"/>
  <c r="D70" i="27"/>
  <c r="D71" i="27"/>
  <c r="D72" i="27"/>
  <c r="D73" i="27"/>
  <c r="D74" i="27"/>
  <c r="D75" i="27"/>
  <c r="D76" i="27"/>
  <c r="D77" i="27"/>
  <c r="D78" i="27"/>
  <c r="D79" i="27"/>
  <c r="D80" i="27"/>
  <c r="D81" i="27"/>
  <c r="D82" i="27"/>
  <c r="D83" i="27"/>
  <c r="D84" i="27"/>
  <c r="D85" i="27"/>
  <c r="D86" i="27"/>
  <c r="D87" i="27"/>
  <c r="D88" i="27"/>
  <c r="D89" i="27"/>
  <c r="D90" i="27"/>
  <c r="D91" i="27"/>
  <c r="D92" i="27"/>
  <c r="D93" i="27"/>
  <c r="D94" i="27"/>
  <c r="D95" i="27"/>
  <c r="D96" i="27"/>
  <c r="D97" i="27"/>
  <c r="D98" i="27"/>
  <c r="D99" i="27"/>
  <c r="D100" i="27"/>
  <c r="D101" i="27"/>
  <c r="D102" i="27"/>
  <c r="D103" i="27"/>
  <c r="D104" i="27"/>
  <c r="D105" i="27"/>
  <c r="D106" i="27"/>
  <c r="D107" i="27"/>
  <c r="D108" i="27"/>
  <c r="D109" i="27"/>
  <c r="D110" i="27"/>
  <c r="D111" i="27"/>
  <c r="D112" i="27"/>
  <c r="D113" i="27"/>
  <c r="D114" i="27"/>
  <c r="D115" i="27"/>
  <c r="D116" i="27"/>
  <c r="D117" i="27"/>
  <c r="D118" i="27"/>
  <c r="D119" i="27"/>
  <c r="D120" i="27"/>
  <c r="D121" i="27"/>
  <c r="D122" i="27"/>
  <c r="D123" i="27"/>
  <c r="D124" i="27"/>
  <c r="D125" i="27"/>
  <c r="D126" i="27"/>
  <c r="D127" i="27"/>
  <c r="D128" i="27"/>
  <c r="D129" i="27"/>
  <c r="D130" i="27"/>
  <c r="D131" i="27"/>
  <c r="D132" i="27"/>
  <c r="D133" i="27"/>
  <c r="D134" i="27"/>
  <c r="D135" i="27"/>
  <c r="D136" i="27"/>
  <c r="D137" i="27"/>
  <c r="D138" i="27"/>
  <c r="D139" i="27"/>
  <c r="D140" i="27"/>
  <c r="D141" i="27"/>
  <c r="D142" i="27"/>
  <c r="D143" i="27"/>
  <c r="D144" i="27"/>
  <c r="D145" i="27"/>
  <c r="D146" i="27"/>
  <c r="D147" i="27"/>
  <c r="D148" i="27"/>
  <c r="D149" i="27"/>
  <c r="D150" i="27"/>
  <c r="D151" i="27"/>
  <c r="D152" i="27"/>
  <c r="D153" i="27"/>
  <c r="D154" i="27"/>
  <c r="D155" i="27"/>
  <c r="D156" i="27"/>
  <c r="D157" i="27"/>
  <c r="D158" i="27"/>
  <c r="D159" i="27"/>
  <c r="D160" i="27"/>
  <c r="D161" i="27"/>
  <c r="D162" i="27"/>
  <c r="D163" i="27"/>
  <c r="D164" i="27"/>
  <c r="D165" i="27"/>
  <c r="D166" i="27"/>
  <c r="D167" i="27"/>
  <c r="D168" i="27"/>
  <c r="D169" i="27"/>
  <c r="D170" i="27"/>
  <c r="D171" i="27"/>
  <c r="D172" i="27"/>
  <c r="D173" i="27"/>
  <c r="D174" i="27"/>
  <c r="D175" i="27"/>
  <c r="D176" i="27"/>
  <c r="D177" i="27"/>
  <c r="D178" i="27"/>
  <c r="D179" i="27"/>
  <c r="D180" i="27"/>
  <c r="D181" i="27"/>
  <c r="D182" i="27"/>
  <c r="D183" i="27"/>
  <c r="D184" i="27"/>
  <c r="D185" i="27"/>
  <c r="D186" i="27"/>
  <c r="D187" i="27"/>
  <c r="D188" i="27"/>
  <c r="D189" i="27"/>
  <c r="D190" i="27"/>
  <c r="D191" i="27"/>
  <c r="D192" i="27"/>
  <c r="D193" i="27"/>
  <c r="D194" i="27"/>
  <c r="D195" i="27"/>
  <c r="D196" i="27"/>
  <c r="D197" i="27"/>
  <c r="D198" i="27"/>
  <c r="D199" i="27"/>
  <c r="D200" i="27"/>
  <c r="D201" i="27"/>
  <c r="D202" i="27"/>
  <c r="D203" i="27"/>
  <c r="D204" i="27"/>
  <c r="D205" i="27"/>
  <c r="D206" i="27"/>
  <c r="D207" i="27"/>
  <c r="D208" i="27"/>
  <c r="D209" i="27"/>
  <c r="D210" i="27"/>
  <c r="D211" i="27"/>
  <c r="D212" i="27"/>
  <c r="D213" i="27"/>
  <c r="D214" i="27"/>
  <c r="D215" i="27"/>
  <c r="D216" i="27"/>
  <c r="D217" i="27"/>
  <c r="D218" i="27"/>
  <c r="D219" i="27"/>
  <c r="D220" i="27"/>
  <c r="D221" i="27"/>
  <c r="D222" i="27"/>
  <c r="D223" i="27"/>
  <c r="D224" i="27"/>
  <c r="D225" i="27"/>
  <c r="D226" i="27"/>
  <c r="D227" i="27"/>
  <c r="D228" i="27"/>
  <c r="D229" i="27"/>
  <c r="D230" i="27"/>
  <c r="D231" i="27"/>
  <c r="D232" i="27"/>
  <c r="D233" i="27"/>
  <c r="D234" i="27"/>
  <c r="D235" i="27"/>
  <c r="D236" i="27"/>
  <c r="D237" i="27"/>
  <c r="D238" i="27"/>
  <c r="D239" i="27"/>
  <c r="D240" i="27"/>
  <c r="D241" i="27"/>
  <c r="D242" i="27"/>
  <c r="D243" i="27"/>
  <c r="D244" i="27"/>
  <c r="D245" i="27"/>
  <c r="D246" i="27"/>
  <c r="D247" i="27"/>
  <c r="D248" i="27"/>
  <c r="D249" i="27"/>
  <c r="D250" i="27"/>
  <c r="D251" i="27"/>
  <c r="D252" i="27"/>
  <c r="D253" i="27"/>
  <c r="D254" i="27"/>
  <c r="D255" i="27"/>
  <c r="D256" i="27"/>
  <c r="D257" i="27"/>
  <c r="D258" i="27"/>
  <c r="D259" i="27"/>
  <c r="D260" i="27"/>
  <c r="D261" i="27"/>
  <c r="D262" i="27"/>
  <c r="D263" i="27"/>
  <c r="D264" i="27"/>
  <c r="D265" i="27"/>
  <c r="D266" i="27"/>
  <c r="D267" i="27"/>
  <c r="D268" i="27"/>
  <c r="D269" i="27"/>
  <c r="D270" i="27"/>
  <c r="D271" i="27"/>
  <c r="D272" i="27"/>
  <c r="D273" i="27"/>
  <c r="D274" i="27"/>
  <c r="D275" i="27"/>
  <c r="D276" i="27"/>
  <c r="D277" i="27"/>
  <c r="D278" i="27"/>
  <c r="D279" i="27"/>
  <c r="D280" i="27"/>
  <c r="D281" i="27"/>
  <c r="D282" i="27"/>
  <c r="D283" i="27"/>
  <c r="D284" i="27"/>
  <c r="D285" i="27"/>
  <c r="D286" i="27"/>
  <c r="D287" i="27"/>
  <c r="D288" i="27"/>
  <c r="D289" i="27"/>
  <c r="D290" i="27"/>
  <c r="D291" i="27"/>
  <c r="D292" i="27"/>
  <c r="D293" i="27"/>
  <c r="D294" i="27"/>
  <c r="D295" i="27"/>
  <c r="D296" i="27"/>
  <c r="D297" i="27"/>
  <c r="D298" i="27"/>
  <c r="D299" i="27"/>
  <c r="D300" i="27"/>
  <c r="D301" i="27"/>
  <c r="D302" i="27"/>
  <c r="D303" i="27"/>
  <c r="D304" i="27"/>
  <c r="D305" i="27"/>
  <c r="D306" i="27"/>
  <c r="D307" i="27"/>
  <c r="D308" i="27"/>
  <c r="D309" i="27"/>
  <c r="D310" i="27"/>
  <c r="D311" i="27"/>
  <c r="D312" i="27"/>
  <c r="D313" i="27"/>
  <c r="D314" i="27"/>
  <c r="D315" i="27"/>
  <c r="D316" i="27"/>
  <c r="D317" i="27"/>
  <c r="D318" i="27"/>
  <c r="D319" i="27"/>
  <c r="D320" i="27"/>
  <c r="D321" i="27"/>
  <c r="D322" i="27"/>
  <c r="D323" i="27"/>
  <c r="D324" i="27"/>
  <c r="D325" i="27"/>
  <c r="D326" i="27"/>
  <c r="D327" i="27"/>
  <c r="D328" i="27"/>
  <c r="D329" i="27"/>
  <c r="D330" i="27"/>
  <c r="D331" i="27"/>
  <c r="D332" i="27"/>
  <c r="D333" i="27"/>
  <c r="D334" i="27"/>
  <c r="D335" i="27"/>
  <c r="D336" i="27"/>
  <c r="D337" i="27"/>
  <c r="D338" i="27"/>
  <c r="D339" i="27"/>
  <c r="D340" i="27"/>
  <c r="D341" i="27"/>
  <c r="D342" i="27"/>
  <c r="D343" i="27"/>
  <c r="D344" i="27"/>
  <c r="D345" i="27"/>
  <c r="D346" i="27"/>
  <c r="D347" i="27"/>
  <c r="D348" i="27"/>
  <c r="D349" i="27"/>
  <c r="D350" i="27"/>
  <c r="D351" i="27"/>
  <c r="D352" i="27"/>
  <c r="D353" i="27"/>
  <c r="D354" i="27"/>
  <c r="D355" i="27"/>
  <c r="D356" i="27"/>
  <c r="D357" i="27"/>
  <c r="D358" i="27"/>
  <c r="D359" i="27"/>
  <c r="D360" i="27"/>
  <c r="D361" i="27"/>
  <c r="D362" i="27"/>
  <c r="D363" i="27"/>
  <c r="D364" i="27"/>
  <c r="D365" i="27"/>
  <c r="D366" i="27"/>
  <c r="D367" i="27"/>
  <c r="D368" i="27"/>
  <c r="D369" i="27"/>
  <c r="D370" i="27"/>
  <c r="D371" i="27"/>
  <c r="D372" i="27"/>
  <c r="D373" i="27"/>
  <c r="D374" i="27"/>
  <c r="D375" i="27"/>
  <c r="D376" i="27"/>
  <c r="D377" i="27"/>
  <c r="D378" i="27"/>
  <c r="D379" i="27"/>
  <c r="D380" i="27"/>
  <c r="D381" i="27"/>
  <c r="D382" i="27"/>
  <c r="D383" i="27"/>
  <c r="D384" i="27"/>
  <c r="D385" i="27"/>
  <c r="D386" i="27"/>
  <c r="D387" i="27"/>
  <c r="D388" i="27"/>
  <c r="D389" i="27"/>
  <c r="D390" i="27"/>
  <c r="D391" i="27"/>
  <c r="D392" i="27"/>
  <c r="D393" i="27"/>
  <c r="D394" i="27"/>
  <c r="D395" i="27"/>
  <c r="D396" i="27"/>
  <c r="D397" i="27"/>
  <c r="D398" i="27"/>
  <c r="D399" i="27"/>
  <c r="D400" i="27"/>
  <c r="D401" i="27"/>
  <c r="D402" i="27"/>
  <c r="D403" i="27"/>
  <c r="D404" i="27"/>
  <c r="D405" i="27"/>
  <c r="D406" i="27"/>
  <c r="D407" i="27"/>
  <c r="D408" i="27"/>
  <c r="D409" i="27"/>
  <c r="D410" i="27"/>
  <c r="D411" i="27"/>
  <c r="D412" i="27"/>
  <c r="D413" i="27"/>
  <c r="D414" i="27"/>
  <c r="D415" i="27"/>
  <c r="D416" i="27"/>
  <c r="D417" i="27"/>
  <c r="D418" i="27"/>
  <c r="D419" i="27"/>
  <c r="D420" i="27"/>
  <c r="D421" i="27"/>
  <c r="D422" i="27"/>
  <c r="D423" i="27"/>
  <c r="D424" i="27"/>
  <c r="D425" i="27"/>
  <c r="D426" i="27"/>
  <c r="D427" i="27"/>
  <c r="D428" i="27"/>
  <c r="D429" i="27"/>
  <c r="D430" i="27"/>
  <c r="D431" i="27"/>
  <c r="D432" i="27"/>
  <c r="D433" i="27"/>
  <c r="D434" i="27"/>
  <c r="D435" i="27"/>
  <c r="D436" i="27"/>
  <c r="D437" i="27"/>
  <c r="D438" i="27"/>
  <c r="D439" i="27"/>
  <c r="D440" i="27"/>
  <c r="D441" i="27"/>
  <c r="D442" i="27"/>
  <c r="D443" i="27"/>
  <c r="D444" i="27"/>
  <c r="D445" i="27"/>
  <c r="D446" i="27"/>
  <c r="D447" i="27"/>
  <c r="D448" i="27"/>
  <c r="D449" i="27"/>
  <c r="D450" i="27"/>
  <c r="D451" i="27"/>
  <c r="D452" i="27"/>
  <c r="D453" i="27"/>
  <c r="D454" i="27"/>
  <c r="D455" i="27"/>
  <c r="D456" i="27"/>
  <c r="D457" i="27"/>
  <c r="D458" i="27"/>
  <c r="D459" i="27"/>
  <c r="D460" i="27"/>
  <c r="D461" i="27"/>
  <c r="D462" i="27"/>
  <c r="D463" i="27"/>
  <c r="D464" i="27"/>
  <c r="D465" i="27"/>
  <c r="D466" i="27"/>
  <c r="D467" i="27"/>
  <c r="D468" i="27"/>
  <c r="D469" i="27"/>
  <c r="D470" i="27"/>
  <c r="D471" i="27"/>
  <c r="D472" i="27"/>
  <c r="D473" i="27"/>
  <c r="D474" i="27"/>
  <c r="D475" i="27"/>
  <c r="D476" i="27"/>
  <c r="D477" i="27"/>
  <c r="D478" i="27"/>
  <c r="D479" i="27"/>
  <c r="D480" i="27"/>
  <c r="D481" i="27"/>
  <c r="D482" i="27"/>
  <c r="D483" i="27"/>
  <c r="D484" i="27"/>
  <c r="D485" i="27"/>
  <c r="D486" i="27"/>
  <c r="D487" i="27"/>
  <c r="D488" i="27"/>
  <c r="D489" i="27"/>
  <c r="D490" i="27"/>
  <c r="D491" i="27"/>
  <c r="D492" i="27"/>
  <c r="D493" i="27"/>
  <c r="D494" i="27"/>
  <c r="D495" i="27"/>
  <c r="D496" i="27"/>
  <c r="D497" i="27"/>
  <c r="D498" i="27"/>
  <c r="D499" i="27"/>
  <c r="D500" i="27"/>
  <c r="D501" i="27"/>
  <c r="D502" i="27"/>
  <c r="D503" i="27"/>
  <c r="D504" i="27"/>
  <c r="D505" i="27"/>
  <c r="D506" i="27"/>
  <c r="D507" i="27"/>
  <c r="D508" i="27"/>
  <c r="D509" i="27"/>
  <c r="D510" i="27"/>
  <c r="D511" i="27"/>
  <c r="D512" i="27"/>
  <c r="D513" i="27"/>
  <c r="D514" i="27"/>
  <c r="D515" i="27"/>
  <c r="D516" i="27"/>
  <c r="D517" i="27"/>
  <c r="D518" i="27"/>
  <c r="D519" i="27"/>
  <c r="D520" i="27"/>
  <c r="D521" i="27"/>
  <c r="D522" i="27"/>
  <c r="D523" i="27"/>
  <c r="D524" i="27"/>
  <c r="D525" i="27"/>
  <c r="D526" i="27"/>
  <c r="D527" i="27"/>
  <c r="D528" i="27"/>
  <c r="D529" i="27"/>
  <c r="D530" i="27"/>
  <c r="D531" i="27"/>
  <c r="D532" i="27"/>
  <c r="D533" i="27"/>
  <c r="D534" i="27"/>
  <c r="D535" i="27"/>
  <c r="D536" i="27"/>
  <c r="D537" i="27"/>
  <c r="D538" i="27"/>
  <c r="D539" i="27"/>
  <c r="D540" i="27"/>
  <c r="D541" i="27"/>
  <c r="D542" i="27"/>
  <c r="D543" i="27"/>
  <c r="D544" i="27"/>
  <c r="D545" i="27"/>
  <c r="D546" i="27"/>
  <c r="D547" i="27"/>
  <c r="D548" i="27"/>
  <c r="D549" i="27"/>
  <c r="D550" i="27"/>
  <c r="D551" i="27"/>
  <c r="D552" i="27"/>
  <c r="D553" i="27"/>
  <c r="D554" i="27"/>
  <c r="D555" i="27"/>
  <c r="D556" i="27"/>
  <c r="D557" i="27"/>
  <c r="D558" i="27"/>
  <c r="D559" i="27"/>
  <c r="D560" i="27"/>
  <c r="D561" i="27"/>
  <c r="D562" i="27"/>
  <c r="D563" i="27"/>
  <c r="D564" i="27"/>
  <c r="D565" i="27"/>
  <c r="D566" i="27"/>
  <c r="D567" i="27"/>
  <c r="D568" i="27"/>
  <c r="D569" i="27"/>
  <c r="D570" i="27"/>
  <c r="D571" i="27"/>
  <c r="D572" i="27"/>
  <c r="D573" i="27"/>
  <c r="D574" i="27"/>
  <c r="D575" i="27"/>
  <c r="D576" i="27"/>
  <c r="D577" i="27"/>
  <c r="D578" i="27"/>
  <c r="D579" i="27"/>
  <c r="D580" i="27"/>
  <c r="D581" i="27"/>
  <c r="D582" i="27"/>
  <c r="D583" i="27"/>
  <c r="D584" i="27"/>
  <c r="D585" i="27"/>
  <c r="D586" i="27"/>
  <c r="D587" i="27"/>
  <c r="D588" i="27"/>
  <c r="D589" i="27"/>
  <c r="D590" i="27"/>
  <c r="D591" i="27"/>
  <c r="D592" i="27"/>
  <c r="D593" i="27"/>
  <c r="D594" i="27"/>
  <c r="D595" i="27"/>
  <c r="D596" i="27"/>
  <c r="D597" i="27"/>
  <c r="D598" i="27"/>
  <c r="D599" i="27"/>
  <c r="D600" i="27"/>
  <c r="D601" i="27"/>
  <c r="D602" i="27"/>
  <c r="D603" i="27"/>
  <c r="D604" i="27"/>
  <c r="D605" i="27"/>
  <c r="D606" i="27"/>
  <c r="D607" i="27"/>
  <c r="D608" i="27"/>
  <c r="D609" i="27"/>
  <c r="D610" i="27"/>
  <c r="D611" i="27"/>
  <c r="D612" i="27"/>
  <c r="D613" i="27"/>
  <c r="D614" i="27"/>
  <c r="D615" i="27"/>
  <c r="D616" i="27"/>
  <c r="D617" i="27"/>
  <c r="D618" i="27"/>
  <c r="D619" i="27"/>
  <c r="D620" i="27"/>
  <c r="D621" i="27"/>
  <c r="D622" i="27"/>
  <c r="D623" i="27"/>
  <c r="D624" i="27"/>
  <c r="D625" i="27"/>
  <c r="D626" i="27"/>
  <c r="D627" i="27"/>
  <c r="D628" i="27"/>
  <c r="D629" i="27"/>
  <c r="D630" i="27"/>
  <c r="D631" i="27"/>
  <c r="D632" i="27"/>
  <c r="D633" i="27"/>
  <c r="D634" i="27"/>
  <c r="D635" i="27"/>
  <c r="D636" i="27"/>
  <c r="D637" i="27"/>
  <c r="D638" i="27"/>
  <c r="D639" i="27"/>
  <c r="D640" i="27"/>
  <c r="D641" i="27"/>
  <c r="D642" i="27"/>
  <c r="D643" i="27"/>
  <c r="D644" i="27"/>
  <c r="D645" i="27"/>
  <c r="D646" i="27"/>
  <c r="D647" i="27"/>
  <c r="D648" i="27"/>
  <c r="D649" i="27"/>
  <c r="D650" i="27"/>
  <c r="D651" i="27"/>
  <c r="D652" i="27"/>
  <c r="D653" i="27"/>
  <c r="D654" i="27"/>
  <c r="D655" i="27"/>
  <c r="D656" i="27"/>
  <c r="D657" i="27"/>
  <c r="D658" i="27"/>
  <c r="D659" i="27"/>
  <c r="D660" i="27"/>
  <c r="D661" i="27"/>
  <c r="D662" i="27"/>
  <c r="D663" i="27"/>
  <c r="D664" i="27"/>
  <c r="D665" i="27"/>
  <c r="D666" i="27"/>
  <c r="D667" i="27"/>
  <c r="D668" i="27"/>
  <c r="D669" i="27"/>
  <c r="D670" i="27"/>
  <c r="D671" i="27"/>
  <c r="D672" i="27"/>
  <c r="D673" i="27"/>
  <c r="D674" i="27"/>
  <c r="D675" i="27"/>
  <c r="D676" i="27"/>
  <c r="D677" i="27"/>
  <c r="D678" i="27"/>
  <c r="D679" i="27"/>
  <c r="D680" i="27"/>
  <c r="D681" i="27"/>
  <c r="D682" i="27"/>
  <c r="D683" i="27"/>
  <c r="D684" i="27"/>
  <c r="D685" i="27"/>
  <c r="D686" i="27"/>
  <c r="D687" i="27"/>
  <c r="D688" i="27"/>
  <c r="D689" i="27"/>
  <c r="D690" i="27"/>
  <c r="D691" i="27"/>
  <c r="D692" i="27"/>
  <c r="D693" i="27"/>
  <c r="D694" i="27"/>
  <c r="D695" i="27"/>
  <c r="D696" i="27"/>
  <c r="D697" i="27"/>
  <c r="D698" i="27"/>
  <c r="D699" i="27"/>
  <c r="D700" i="27"/>
  <c r="D701" i="27"/>
  <c r="D702" i="27"/>
  <c r="D703" i="27"/>
  <c r="D704" i="27"/>
  <c r="D705" i="27"/>
  <c r="D706" i="27"/>
  <c r="D707" i="27"/>
  <c r="D708" i="27"/>
  <c r="D709" i="27"/>
  <c r="D710" i="27"/>
  <c r="D711" i="27"/>
  <c r="D712" i="27"/>
  <c r="D713" i="27"/>
  <c r="D714" i="27"/>
  <c r="D715" i="27"/>
  <c r="D716" i="27"/>
  <c r="D717" i="27"/>
  <c r="D718" i="27"/>
  <c r="D719" i="27"/>
  <c r="D720" i="27"/>
  <c r="D721" i="27"/>
  <c r="D722" i="27"/>
  <c r="D723" i="27"/>
  <c r="D724" i="27"/>
  <c r="D725" i="27"/>
  <c r="D726" i="27"/>
  <c r="D727" i="27"/>
  <c r="D728" i="27"/>
  <c r="D729" i="27"/>
  <c r="D730" i="27"/>
  <c r="D731" i="27"/>
  <c r="D732" i="27"/>
  <c r="D733" i="27"/>
  <c r="D734" i="27"/>
  <c r="D735" i="27"/>
  <c r="D736" i="27"/>
  <c r="D737" i="27"/>
  <c r="D738" i="27"/>
  <c r="D739" i="27"/>
  <c r="D740" i="27"/>
  <c r="D741" i="27"/>
  <c r="D742" i="27"/>
  <c r="D743" i="27"/>
  <c r="D744" i="27"/>
  <c r="D745" i="27"/>
  <c r="D746" i="27"/>
  <c r="D747" i="27"/>
  <c r="D748" i="27"/>
  <c r="D749" i="27"/>
  <c r="D750" i="27"/>
  <c r="D751" i="27"/>
  <c r="D752" i="27"/>
  <c r="D753" i="27"/>
  <c r="D754" i="27"/>
  <c r="D755" i="27"/>
  <c r="D756" i="27"/>
  <c r="D757" i="27"/>
  <c r="D758" i="27"/>
  <c r="D759" i="27"/>
  <c r="D760" i="27"/>
  <c r="D761" i="27"/>
  <c r="D762" i="27"/>
  <c r="D763" i="27"/>
  <c r="D764" i="27"/>
  <c r="D765" i="27"/>
  <c r="D766" i="27"/>
  <c r="D767" i="27"/>
  <c r="D768" i="27"/>
  <c r="D769" i="27"/>
  <c r="D770" i="27"/>
  <c r="D771" i="27"/>
  <c r="D772" i="27"/>
  <c r="D773" i="27"/>
  <c r="D774" i="27"/>
  <c r="D775" i="27"/>
  <c r="D776" i="27"/>
  <c r="D777" i="27"/>
  <c r="D778" i="27"/>
  <c r="D779" i="27"/>
  <c r="D780" i="27"/>
  <c r="D781" i="27"/>
  <c r="D782" i="27"/>
  <c r="D783" i="27"/>
  <c r="D784" i="27"/>
  <c r="D785" i="27"/>
  <c r="D786" i="27"/>
  <c r="D787" i="27"/>
  <c r="D788" i="27"/>
  <c r="D789" i="27"/>
  <c r="D790" i="27"/>
  <c r="D791" i="27"/>
  <c r="D792" i="27"/>
  <c r="D793" i="27"/>
  <c r="D794" i="27"/>
  <c r="D795" i="27"/>
  <c r="D796" i="27"/>
  <c r="D797" i="27"/>
  <c r="D798" i="27"/>
  <c r="D799" i="27"/>
  <c r="D800" i="27"/>
  <c r="D801" i="27"/>
  <c r="D802" i="27"/>
  <c r="D803" i="27"/>
  <c r="D804" i="27"/>
  <c r="D805" i="27"/>
  <c r="D806" i="27"/>
  <c r="D807" i="27"/>
  <c r="D808" i="27"/>
  <c r="D5" i="27"/>
  <c r="G34" i="8" l="1"/>
  <c r="E34" i="8"/>
  <c r="E51" i="8"/>
  <c r="G42" i="9"/>
  <c r="L42" i="9" s="1"/>
  <c r="G35" i="8"/>
  <c r="L35" i="8" s="1"/>
  <c r="G33" i="7"/>
  <c r="K33" i="7" s="1"/>
  <c r="G54" i="4"/>
  <c r="K54" i="4" s="1"/>
  <c r="G53" i="4"/>
  <c r="M53" i="4" s="1"/>
  <c r="G50" i="3"/>
  <c r="M50" i="3" s="1"/>
  <c r="E44" i="9"/>
  <c r="G51" i="8"/>
  <c r="N51" i="8" s="1"/>
  <c r="E33" i="7"/>
  <c r="J33" i="7" s="1"/>
  <c r="I33" i="7" s="1"/>
  <c r="G34" i="5"/>
  <c r="M34" i="5" s="1"/>
  <c r="G52" i="4"/>
  <c r="L52" i="4" s="1"/>
  <c r="E52" i="3"/>
  <c r="G52" i="3"/>
  <c r="M52" i="3" s="1"/>
  <c r="E43" i="9"/>
  <c r="J43" i="9" s="1"/>
  <c r="I43" i="9" s="1"/>
  <c r="G44" i="9"/>
  <c r="K44" i="9" s="1"/>
  <c r="G34" i="7"/>
  <c r="N34" i="7" s="1"/>
  <c r="G35" i="5"/>
  <c r="L35" i="5" s="1"/>
  <c r="E54" i="4"/>
  <c r="E51" i="3"/>
  <c r="J51" i="3" s="1"/>
  <c r="I51" i="3" s="1"/>
  <c r="G45" i="9"/>
  <c r="L45" i="9" s="1"/>
  <c r="G43" i="9"/>
  <c r="L43" i="9" s="1"/>
  <c r="G61" i="6"/>
  <c r="L61" i="6" s="1"/>
  <c r="E53" i="4"/>
  <c r="E50" i="3"/>
  <c r="G51" i="3"/>
  <c r="L51" i="3" s="1"/>
  <c r="K42" i="9"/>
  <c r="N52" i="4"/>
  <c r="L54" i="4"/>
  <c r="K53" i="4"/>
  <c r="N53" i="4"/>
  <c r="K52" i="3"/>
  <c r="M42" i="9"/>
  <c r="L33" i="7"/>
  <c r="M54" i="4"/>
  <c r="L53" i="4"/>
  <c r="N52" i="3"/>
  <c r="N42" i="9"/>
  <c r="G32" i="3"/>
  <c r="N32" i="3" s="1"/>
  <c r="G31" i="3"/>
  <c r="L31" i="3" s="1"/>
  <c r="E32" i="3"/>
  <c r="E31" i="3"/>
  <c r="G17" i="5"/>
  <c r="L17" i="5" s="1"/>
  <c r="G18" i="5"/>
  <c r="L18" i="5" s="1"/>
  <c r="G19" i="5"/>
  <c r="K19" i="5" s="1"/>
  <c r="E42" i="9"/>
  <c r="E45" i="9"/>
  <c r="E61" i="6"/>
  <c r="E17" i="5"/>
  <c r="E34" i="5"/>
  <c r="E35" i="8"/>
  <c r="E35" i="5"/>
  <c r="E52" i="4"/>
  <c r="E19" i="5"/>
  <c r="E18" i="5"/>
  <c r="J18" i="5" s="1"/>
  <c r="I18" i="5" s="1"/>
  <c r="E34" i="7"/>
  <c r="E55" i="8"/>
  <c r="E36" i="7"/>
  <c r="G54" i="8"/>
  <c r="G55" i="8"/>
  <c r="G36" i="7"/>
  <c r="G52" i="7"/>
  <c r="G51" i="7"/>
  <c r="E53" i="7"/>
  <c r="E51" i="7"/>
  <c r="G53" i="7"/>
  <c r="G46" i="9"/>
  <c r="G50" i="5"/>
  <c r="G45" i="3"/>
  <c r="G41" i="9"/>
  <c r="E46" i="9"/>
  <c r="G63" i="6"/>
  <c r="E45" i="3"/>
  <c r="E51" i="4"/>
  <c r="G48" i="9"/>
  <c r="E63" i="6"/>
  <c r="G51" i="4"/>
  <c r="G16" i="6"/>
  <c r="G47" i="9"/>
  <c r="E50" i="5"/>
  <c r="E52" i="7"/>
  <c r="J52" i="7" s="1"/>
  <c r="I52" i="7" s="1"/>
  <c r="E48" i="9"/>
  <c r="E54" i="8"/>
  <c r="J54" i="8" s="1"/>
  <c r="I54" i="8" s="1"/>
  <c r="E41" i="9"/>
  <c r="E16" i="6"/>
  <c r="E47" i="9"/>
  <c r="M197" i="11"/>
  <c r="A196" i="29"/>
  <c r="M185" i="11"/>
  <c r="A184" i="29"/>
  <c r="M157" i="11"/>
  <c r="A156" i="29"/>
  <c r="M147" i="11"/>
  <c r="A147" i="29"/>
  <c r="M142" i="11"/>
  <c r="A143" i="29"/>
  <c r="M138" i="11"/>
  <c r="A139" i="29"/>
  <c r="M133" i="11"/>
  <c r="A134" i="29"/>
  <c r="M129" i="11"/>
  <c r="A130" i="29"/>
  <c r="M93" i="11"/>
  <c r="A94" i="29"/>
  <c r="M89" i="11"/>
  <c r="A90" i="29"/>
  <c r="M85" i="11"/>
  <c r="A86" i="29"/>
  <c r="M72" i="11"/>
  <c r="A73" i="29"/>
  <c r="M59" i="11"/>
  <c r="A60" i="29"/>
  <c r="M50" i="11"/>
  <c r="A52" i="29"/>
  <c r="M46" i="11"/>
  <c r="A48" i="29"/>
  <c r="M34" i="11"/>
  <c r="A36" i="29"/>
  <c r="M6" i="11"/>
  <c r="A8" i="29"/>
  <c r="M198" i="11"/>
  <c r="A197" i="29"/>
  <c r="M194" i="11"/>
  <c r="A193" i="29"/>
  <c r="M190" i="11"/>
  <c r="A189" i="29"/>
  <c r="M186" i="11"/>
  <c r="A185" i="29"/>
  <c r="M182" i="11"/>
  <c r="A181" i="29"/>
  <c r="M170" i="11"/>
  <c r="A169" i="29"/>
  <c r="M158" i="11"/>
  <c r="A157" i="29"/>
  <c r="M148" i="11"/>
  <c r="A148" i="29"/>
  <c r="M135" i="11"/>
  <c r="A136" i="29"/>
  <c r="M122" i="11"/>
  <c r="A123" i="29"/>
  <c r="M78" i="11"/>
  <c r="A79" i="29"/>
  <c r="M64" i="11"/>
  <c r="A65" i="29"/>
  <c r="M60" i="11"/>
  <c r="A61" i="29"/>
  <c r="M35" i="11"/>
  <c r="A37" i="29"/>
  <c r="M19" i="11"/>
  <c r="A21" i="29"/>
  <c r="E44" i="7"/>
  <c r="G43" i="5"/>
  <c r="E45" i="5"/>
  <c r="G47" i="7"/>
  <c r="G46" i="7"/>
  <c r="E43" i="5"/>
  <c r="G44" i="5"/>
  <c r="G44" i="7"/>
  <c r="G45" i="7"/>
  <c r="E42" i="5"/>
  <c r="G42" i="5"/>
  <c r="G26" i="7"/>
  <c r="E47" i="7"/>
  <c r="G46" i="5"/>
  <c r="G45" i="5"/>
  <c r="G34" i="3"/>
  <c r="E35" i="3"/>
  <c r="G37" i="3"/>
  <c r="G36" i="3"/>
  <c r="G35" i="3"/>
  <c r="E37" i="3"/>
  <c r="J37" i="3" s="1"/>
  <c r="I37" i="3" s="1"/>
  <c r="E34" i="3"/>
  <c r="E36" i="3"/>
  <c r="G16" i="7"/>
  <c r="G24" i="8"/>
  <c r="E24" i="8"/>
  <c r="E44" i="8"/>
  <c r="G44" i="8"/>
  <c r="A4" i="29"/>
  <c r="E26" i="7"/>
  <c r="E45" i="7"/>
  <c r="E44" i="5"/>
  <c r="E46" i="7"/>
  <c r="E16" i="7"/>
  <c r="E46" i="5"/>
  <c r="M183" i="11"/>
  <c r="A182" i="29"/>
  <c r="M175" i="11"/>
  <c r="A174" i="29"/>
  <c r="M171" i="11"/>
  <c r="A170" i="29"/>
  <c r="M155" i="11"/>
  <c r="A154" i="29"/>
  <c r="M144" i="11"/>
  <c r="A145" i="29"/>
  <c r="M127" i="11"/>
  <c r="A128" i="29"/>
  <c r="M123" i="11"/>
  <c r="H45" i="9" s="1"/>
  <c r="A124" i="29"/>
  <c r="M70" i="11"/>
  <c r="A71" i="29"/>
  <c r="M20" i="11"/>
  <c r="A22" i="29"/>
  <c r="M196" i="11"/>
  <c r="A195" i="29"/>
  <c r="M192" i="11"/>
  <c r="A191" i="29"/>
  <c r="M164" i="11"/>
  <c r="A163" i="29"/>
  <c r="M156" i="11"/>
  <c r="A155" i="29"/>
  <c r="M137" i="11"/>
  <c r="A138" i="29"/>
  <c r="M88" i="11"/>
  <c r="A89" i="29"/>
  <c r="M76" i="11"/>
  <c r="A77" i="29"/>
  <c r="M66" i="11"/>
  <c r="A67" i="29"/>
  <c r="E54" i="7"/>
  <c r="E55" i="7"/>
  <c r="J55" i="7" s="1"/>
  <c r="I55" i="7" s="1"/>
  <c r="G54" i="7"/>
  <c r="G18" i="8"/>
  <c r="G17" i="8"/>
  <c r="E28" i="7"/>
  <c r="E18" i="8"/>
  <c r="G28" i="7"/>
  <c r="E17" i="8"/>
  <c r="G55" i="7"/>
  <c r="G66" i="6"/>
  <c r="E16" i="3"/>
  <c r="E65" i="6"/>
  <c r="E16" i="9"/>
  <c r="G65" i="6"/>
  <c r="G16" i="3"/>
  <c r="G16" i="9"/>
  <c r="E30" i="3"/>
  <c r="G30" i="3"/>
  <c r="G33" i="3"/>
  <c r="E38" i="3"/>
  <c r="E33" i="3"/>
  <c r="G38" i="3"/>
  <c r="G32" i="8"/>
  <c r="G36" i="8"/>
  <c r="G33" i="8"/>
  <c r="E36" i="8"/>
  <c r="E32" i="8"/>
  <c r="E33" i="8"/>
  <c r="E55" i="3"/>
  <c r="G56" i="3"/>
  <c r="G32" i="7"/>
  <c r="E35" i="7"/>
  <c r="G55" i="3"/>
  <c r="E56" i="3"/>
  <c r="G57" i="3"/>
  <c r="G35" i="7"/>
  <c r="E37" i="7"/>
  <c r="J37" i="7" s="1"/>
  <c r="I37" i="7" s="1"/>
  <c r="E57" i="3"/>
  <c r="G37" i="7"/>
  <c r="E38" i="7"/>
  <c r="G31" i="7"/>
  <c r="G38" i="7"/>
  <c r="E31" i="7"/>
  <c r="E32" i="7"/>
  <c r="G30" i="7"/>
  <c r="E30" i="7"/>
  <c r="E55" i="4"/>
  <c r="G55" i="5"/>
  <c r="E55" i="5"/>
  <c r="E60" i="6"/>
  <c r="G60" i="6"/>
  <c r="G55" i="4"/>
  <c r="G57" i="6"/>
  <c r="E57" i="6"/>
  <c r="E58" i="6"/>
  <c r="G59" i="6"/>
  <c r="N59" i="6" s="1"/>
  <c r="G50" i="4"/>
  <c r="L50" i="4" s="1"/>
  <c r="E56" i="5"/>
  <c r="G58" i="6"/>
  <c r="L58" i="6" s="1"/>
  <c r="G16" i="5"/>
  <c r="M16" i="5" s="1"/>
  <c r="E16" i="5"/>
  <c r="G56" i="4"/>
  <c r="L56" i="4" s="1"/>
  <c r="E59" i="6"/>
  <c r="E50" i="4"/>
  <c r="G15" i="5"/>
  <c r="K15" i="5" s="1"/>
  <c r="E49" i="4"/>
  <c r="E56" i="4"/>
  <c r="G56" i="5"/>
  <c r="K56" i="5" s="1"/>
  <c r="G49" i="4"/>
  <c r="L49" i="4" s="1"/>
  <c r="E15" i="5"/>
  <c r="M31" i="11"/>
  <c r="E49" i="8"/>
  <c r="G50" i="8"/>
  <c r="E50" i="8"/>
  <c r="G52" i="8"/>
  <c r="E53" i="8"/>
  <c r="G53" i="8"/>
  <c r="G49" i="8"/>
  <c r="E52" i="8"/>
  <c r="G46" i="8"/>
  <c r="E46" i="8"/>
  <c r="E48" i="7"/>
  <c r="E50" i="7"/>
  <c r="G48" i="7"/>
  <c r="G49" i="7"/>
  <c r="G26" i="5"/>
  <c r="E49" i="7"/>
  <c r="E26" i="5"/>
  <c r="G50" i="7"/>
  <c r="G29" i="3"/>
  <c r="E29" i="3"/>
  <c r="G28" i="4"/>
  <c r="K28" i="4" s="1"/>
  <c r="E37" i="8"/>
  <c r="E28" i="4"/>
  <c r="E18" i="4"/>
  <c r="E17" i="4"/>
  <c r="G18" i="4"/>
  <c r="K18" i="4" s="1"/>
  <c r="G17" i="4"/>
  <c r="L17" i="4" s="1"/>
  <c r="G37" i="8"/>
  <c r="N37" i="8" s="1"/>
  <c r="E27" i="4"/>
  <c r="G27" i="4"/>
  <c r="K27" i="4" s="1"/>
  <c r="E38" i="8"/>
  <c r="G38" i="8"/>
  <c r="L38" i="8" s="1"/>
  <c r="E31" i="8"/>
  <c r="G31" i="8"/>
  <c r="L31" i="8" s="1"/>
  <c r="G62" i="6"/>
  <c r="L62" i="6" s="1"/>
  <c r="E62" i="6"/>
  <c r="G28" i="3"/>
  <c r="E28" i="3"/>
  <c r="E39" i="3"/>
  <c r="G39" i="3"/>
  <c r="L39" i="3" s="1"/>
  <c r="M5" i="11"/>
  <c r="G42" i="4"/>
  <c r="E29" i="9"/>
  <c r="G26" i="9"/>
  <c r="E39" i="9"/>
  <c r="G27" i="9"/>
  <c r="G47" i="4"/>
  <c r="G27" i="7"/>
  <c r="E28" i="9"/>
  <c r="E27" i="9"/>
  <c r="G46" i="4"/>
  <c r="G23" i="3"/>
  <c r="E26" i="9"/>
  <c r="E46" i="4"/>
  <c r="G48" i="4"/>
  <c r="E48" i="4"/>
  <c r="E42" i="4"/>
  <c r="G39" i="9"/>
  <c r="N39" i="9" s="1"/>
  <c r="E48" i="5"/>
  <c r="E23" i="3"/>
  <c r="E45" i="4"/>
  <c r="G48" i="5"/>
  <c r="G45" i="4"/>
  <c r="E47" i="4"/>
  <c r="E27" i="7"/>
  <c r="G29" i="9"/>
  <c r="G28" i="9"/>
  <c r="G30" i="8"/>
  <c r="E30" i="8"/>
  <c r="E25" i="5"/>
  <c r="G25" i="5"/>
  <c r="E17" i="6"/>
  <c r="G17" i="6"/>
  <c r="G27" i="8"/>
  <c r="M27" i="8" s="1"/>
  <c r="E27" i="8"/>
  <c r="E38" i="9"/>
  <c r="G38" i="9"/>
  <c r="N38" i="9" s="1"/>
  <c r="G16" i="4"/>
  <c r="N16" i="4" s="1"/>
  <c r="E16" i="4"/>
  <c r="E58" i="5"/>
  <c r="G58" i="5"/>
  <c r="L58" i="5" s="1"/>
  <c r="E57" i="5"/>
  <c r="G57" i="5"/>
  <c r="L57" i="5" s="1"/>
  <c r="E54" i="5"/>
  <c r="G54" i="5"/>
  <c r="L54" i="5" s="1"/>
  <c r="E24" i="7"/>
  <c r="G24" i="7"/>
  <c r="E22" i="7"/>
  <c r="G25" i="7"/>
  <c r="E23" i="7"/>
  <c r="G23" i="7"/>
  <c r="G22" i="7"/>
  <c r="E25" i="7"/>
  <c r="E26" i="8"/>
  <c r="E25" i="8"/>
  <c r="G26" i="8"/>
  <c r="G25" i="8"/>
  <c r="G16" i="8"/>
  <c r="E16" i="8"/>
  <c r="G22" i="9"/>
  <c r="E35" i="9"/>
  <c r="E23" i="9"/>
  <c r="G35" i="9"/>
  <c r="E22" i="9"/>
  <c r="E24" i="9"/>
  <c r="G23" i="9"/>
  <c r="G24" i="9"/>
  <c r="G64" i="6"/>
  <c r="E47" i="3"/>
  <c r="G47" i="3"/>
  <c r="L47" i="3" s="1"/>
  <c r="E46" i="3"/>
  <c r="G46" i="3"/>
  <c r="N46" i="3" s="1"/>
  <c r="E40" i="9"/>
  <c r="G40" i="9"/>
  <c r="E44" i="3"/>
  <c r="E48" i="3"/>
  <c r="G48" i="3"/>
  <c r="K48" i="3" s="1"/>
  <c r="G44" i="3"/>
  <c r="K44" i="3" s="1"/>
  <c r="G47" i="5"/>
  <c r="E47" i="5"/>
  <c r="H33" i="6"/>
  <c r="G54" i="3"/>
  <c r="E54" i="3"/>
  <c r="M207" i="11"/>
  <c r="M203" i="11"/>
  <c r="M174" i="11"/>
  <c r="M162" i="11"/>
  <c r="M143" i="11"/>
  <c r="M139" i="11"/>
  <c r="M130" i="11"/>
  <c r="M126" i="11"/>
  <c r="M117" i="11"/>
  <c r="M113" i="11"/>
  <c r="M107" i="11"/>
  <c r="M103" i="11"/>
  <c r="M99" i="11"/>
  <c r="M94" i="11"/>
  <c r="M86" i="11"/>
  <c r="M82" i="11"/>
  <c r="M65" i="11"/>
  <c r="M61" i="11"/>
  <c r="M57" i="11"/>
  <c r="M48" i="11"/>
  <c r="M44" i="11"/>
  <c r="M40" i="11"/>
  <c r="M36" i="11"/>
  <c r="M24" i="11"/>
  <c r="M16" i="11"/>
  <c r="M12" i="11"/>
  <c r="M8" i="11"/>
  <c r="M204" i="11"/>
  <c r="M200" i="11"/>
  <c r="M187" i="11"/>
  <c r="H17" i="5" s="1"/>
  <c r="M163" i="11"/>
  <c r="M150" i="11"/>
  <c r="M140" i="11"/>
  <c r="M131" i="11"/>
  <c r="M118" i="11"/>
  <c r="M114" i="11"/>
  <c r="M110" i="11"/>
  <c r="M104" i="11"/>
  <c r="M100" i="11"/>
  <c r="M95" i="11"/>
  <c r="M91" i="11"/>
  <c r="M87" i="11"/>
  <c r="M83" i="11"/>
  <c r="M75" i="11"/>
  <c r="M62" i="11"/>
  <c r="M58" i="11"/>
  <c r="M45" i="11"/>
  <c r="M41" i="11"/>
  <c r="M37" i="11"/>
  <c r="M33" i="11"/>
  <c r="M29" i="11"/>
  <c r="M25" i="11"/>
  <c r="M13" i="11"/>
  <c r="M9" i="11"/>
  <c r="M205" i="11"/>
  <c r="M201" i="11"/>
  <c r="M188" i="11"/>
  <c r="M172" i="11"/>
  <c r="M168" i="11"/>
  <c r="M151" i="11"/>
  <c r="M141" i="11"/>
  <c r="M132" i="11"/>
  <c r="M120" i="11"/>
  <c r="M111" i="11"/>
  <c r="M105" i="11"/>
  <c r="M101" i="11"/>
  <c r="M92" i="11"/>
  <c r="M84" i="11"/>
  <c r="M80" i="11"/>
  <c r="M63" i="11"/>
  <c r="M55" i="11"/>
  <c r="M42" i="11"/>
  <c r="M38" i="11"/>
  <c r="M30" i="11"/>
  <c r="M26" i="11"/>
  <c r="M22" i="11"/>
  <c r="M18" i="11"/>
  <c r="M14" i="11"/>
  <c r="M10" i="11"/>
  <c r="M206" i="11"/>
  <c r="M202" i="11"/>
  <c r="M189" i="11"/>
  <c r="M181" i="11"/>
  <c r="M173" i="11"/>
  <c r="M161" i="11"/>
  <c r="H16" i="9" s="1"/>
  <c r="M125" i="11"/>
  <c r="M121" i="11"/>
  <c r="M116" i="11"/>
  <c r="M112" i="11"/>
  <c r="M106" i="11"/>
  <c r="M102" i="11"/>
  <c r="M98" i="11"/>
  <c r="M81" i="11"/>
  <c r="H35" i="8" s="1"/>
  <c r="M56" i="11"/>
  <c r="M47" i="11"/>
  <c r="M43" i="11"/>
  <c r="M27" i="11"/>
  <c r="M23" i="11"/>
  <c r="M15" i="11"/>
  <c r="M11" i="11"/>
  <c r="M7" i="11"/>
  <c r="M184" i="11"/>
  <c r="M178" i="11"/>
  <c r="M166" i="11"/>
  <c r="M154" i="11"/>
  <c r="M90" i="11"/>
  <c r="H34" i="5" s="1"/>
  <c r="M74" i="11"/>
  <c r="M52" i="11"/>
  <c r="M32" i="11"/>
  <c r="M28" i="11"/>
  <c r="M160" i="11"/>
  <c r="M128" i="11"/>
  <c r="M2" i="11"/>
  <c r="M195" i="11"/>
  <c r="M191" i="11"/>
  <c r="M179" i="11"/>
  <c r="M167" i="11"/>
  <c r="M159" i="11"/>
  <c r="H52" i="4" s="1"/>
  <c r="M136" i="11"/>
  <c r="M79" i="11"/>
  <c r="M53" i="11"/>
  <c r="M49" i="11"/>
  <c r="M21" i="11"/>
  <c r="M17" i="11"/>
  <c r="H54" i="4" s="1"/>
  <c r="M180" i="11"/>
  <c r="M176" i="11"/>
  <c r="M146" i="11"/>
  <c r="M124" i="11"/>
  <c r="M115" i="11"/>
  <c r="M96" i="11"/>
  <c r="M71" i="11"/>
  <c r="M67" i="11"/>
  <c r="M193" i="11"/>
  <c r="M177" i="11"/>
  <c r="M169" i="11"/>
  <c r="M165" i="11"/>
  <c r="M153" i="11"/>
  <c r="M77" i="11"/>
  <c r="M68" i="11"/>
  <c r="M51" i="11"/>
  <c r="M39" i="11"/>
  <c r="G47" i="8"/>
  <c r="G48" i="8"/>
  <c r="E47" i="8"/>
  <c r="E48" i="8"/>
  <c r="E28" i="5"/>
  <c r="G27" i="5"/>
  <c r="L27" i="5" s="1"/>
  <c r="E27" i="5"/>
  <c r="G29" i="5"/>
  <c r="K29" i="5" s="1"/>
  <c r="G28" i="5"/>
  <c r="N28" i="5" s="1"/>
  <c r="E29" i="5"/>
  <c r="G29" i="8"/>
  <c r="K29" i="8" s="1"/>
  <c r="E29" i="8"/>
  <c r="E24" i="3"/>
  <c r="G24" i="3"/>
  <c r="L24" i="3" s="1"/>
  <c r="E44" i="4"/>
  <c r="G44" i="4"/>
  <c r="K44" i="4" s="1"/>
  <c r="E36" i="9"/>
  <c r="E37" i="9"/>
  <c r="E25" i="3"/>
  <c r="G25" i="3"/>
  <c r="G43" i="4"/>
  <c r="E43" i="4"/>
  <c r="E22" i="3"/>
  <c r="G33" i="5"/>
  <c r="E36" i="5"/>
  <c r="G37" i="9"/>
  <c r="G36" i="5"/>
  <c r="E33" i="5"/>
  <c r="G36" i="9"/>
  <c r="G22" i="3"/>
  <c r="G45" i="8"/>
  <c r="G56" i="8"/>
  <c r="E56" i="8"/>
  <c r="E45" i="8"/>
  <c r="G31" i="5"/>
  <c r="E32" i="5"/>
  <c r="G32" i="5"/>
  <c r="G25" i="9"/>
  <c r="E31" i="5"/>
  <c r="E25" i="9"/>
  <c r="G26" i="3"/>
  <c r="M26" i="3" s="1"/>
  <c r="E26" i="3"/>
  <c r="H19" i="8"/>
  <c r="E30" i="5"/>
  <c r="G30" i="5"/>
  <c r="G29" i="7"/>
  <c r="E29" i="7"/>
  <c r="G33" i="4"/>
  <c r="G34" i="4"/>
  <c r="E33" i="4"/>
  <c r="E34" i="4"/>
  <c r="G53" i="5"/>
  <c r="E53" i="5"/>
  <c r="G52" i="5"/>
  <c r="E52" i="5"/>
  <c r="G28" i="8"/>
  <c r="E28" i="8"/>
  <c r="G56" i="6"/>
  <c r="E56" i="6"/>
  <c r="B8" i="7"/>
  <c r="B7" i="7"/>
  <c r="D53" i="3"/>
  <c r="C53" i="3"/>
  <c r="B53" i="3"/>
  <c r="E53" i="3" s="1"/>
  <c r="D2" i="6"/>
  <c r="D2" i="7"/>
  <c r="D2" i="5"/>
  <c r="D2" i="4"/>
  <c r="D2" i="3"/>
  <c r="C51" i="5"/>
  <c r="B51" i="5"/>
  <c r="G51" i="5" s="1"/>
  <c r="K51" i="5" s="1"/>
  <c r="C49" i="5"/>
  <c r="B49" i="5"/>
  <c r="E49" i="5" s="1"/>
  <c r="B37" i="5"/>
  <c r="G37" i="5" s="1"/>
  <c r="N37" i="5" s="1"/>
  <c r="C37" i="5"/>
  <c r="D37" i="5"/>
  <c r="D15" i="4"/>
  <c r="C15" i="4"/>
  <c r="B15" i="4"/>
  <c r="G15" i="4" s="1"/>
  <c r="K15" i="4" s="1"/>
  <c r="B17" i="9"/>
  <c r="E17" i="9" s="1"/>
  <c r="C17" i="9"/>
  <c r="D17" i="9"/>
  <c r="B8" i="3"/>
  <c r="B39" i="7"/>
  <c r="E39" i="7" s="1"/>
  <c r="C39" i="7"/>
  <c r="D39" i="7"/>
  <c r="D15" i="3"/>
  <c r="C15" i="3"/>
  <c r="B15" i="3"/>
  <c r="E15" i="3" s="1"/>
  <c r="D41" i="6"/>
  <c r="C41" i="6"/>
  <c r="B41" i="6"/>
  <c r="G41" i="6" s="1"/>
  <c r="N41" i="6" s="1"/>
  <c r="D40" i="6"/>
  <c r="C40" i="6"/>
  <c r="B40" i="6"/>
  <c r="E40" i="6" s="1"/>
  <c r="B9" i="9"/>
  <c r="B5" i="9"/>
  <c r="B9" i="8"/>
  <c r="B5" i="8"/>
  <c r="B9" i="7"/>
  <c r="B5" i="7"/>
  <c r="B9" i="6"/>
  <c r="B6" i="6"/>
  <c r="B9" i="5"/>
  <c r="B5" i="5"/>
  <c r="B9" i="4"/>
  <c r="B5" i="4"/>
  <c r="B9" i="3"/>
  <c r="B5" i="3"/>
  <c r="D27" i="3"/>
  <c r="C27" i="3"/>
  <c r="B27" i="3"/>
  <c r="G27" i="3" s="1"/>
  <c r="N27" i="3" s="1"/>
  <c r="B8" i="9"/>
  <c r="B7" i="8"/>
  <c r="B4" i="8"/>
  <c r="B4" i="7"/>
  <c r="B5" i="6"/>
  <c r="B8" i="5"/>
  <c r="B4" i="5"/>
  <c r="B8" i="4"/>
  <c r="B4" i="4"/>
  <c r="B4" i="3"/>
  <c r="D55" i="6"/>
  <c r="C55" i="6"/>
  <c r="B55" i="6"/>
  <c r="E55" i="6" s="1"/>
  <c r="D49" i="3"/>
  <c r="C49" i="3"/>
  <c r="B49" i="3"/>
  <c r="E49" i="3" s="1"/>
  <c r="D15" i="9"/>
  <c r="C15" i="9"/>
  <c r="B15" i="9"/>
  <c r="E15" i="9" s="1"/>
  <c r="B7" i="9"/>
  <c r="D39" i="8"/>
  <c r="C39" i="8"/>
  <c r="B39" i="8"/>
  <c r="G39" i="8" s="1"/>
  <c r="K39" i="8" s="1"/>
  <c r="D15" i="6"/>
  <c r="C15" i="6"/>
  <c r="B15" i="6"/>
  <c r="E15" i="6" s="1"/>
  <c r="D57" i="4"/>
  <c r="C57" i="4"/>
  <c r="B57" i="4"/>
  <c r="G57" i="4" s="1"/>
  <c r="N57" i="4" s="1"/>
  <c r="D30" i="9"/>
  <c r="C30" i="9"/>
  <c r="B30" i="9"/>
  <c r="E30" i="9" s="1"/>
  <c r="D25" i="4"/>
  <c r="C25" i="4"/>
  <c r="B25" i="4"/>
  <c r="G25" i="4" s="1"/>
  <c r="L25" i="4" s="1"/>
  <c r="D36" i="4"/>
  <c r="C36" i="4"/>
  <c r="B36" i="4"/>
  <c r="E36" i="4" s="1"/>
  <c r="D37" i="4"/>
  <c r="C37" i="4"/>
  <c r="B37" i="4"/>
  <c r="G37" i="4" s="1"/>
  <c r="K37" i="4" s="1"/>
  <c r="D31" i="4"/>
  <c r="C31" i="4"/>
  <c r="B31" i="4"/>
  <c r="G31" i="4" s="1"/>
  <c r="K31" i="4" s="1"/>
  <c r="Q8" i="8"/>
  <c r="S9" i="8" s="1"/>
  <c r="Q8" i="9"/>
  <c r="S9" i="9" s="1"/>
  <c r="D21" i="7"/>
  <c r="D20" i="7"/>
  <c r="D50" i="6"/>
  <c r="D49" i="6"/>
  <c r="D48" i="6"/>
  <c r="D47" i="6"/>
  <c r="D46" i="6"/>
  <c r="D45" i="6"/>
  <c r="D44" i="6"/>
  <c r="D43" i="6"/>
  <c r="D42" i="6"/>
  <c r="D39" i="6"/>
  <c r="D38" i="6"/>
  <c r="D37" i="6"/>
  <c r="D36" i="6"/>
  <c r="D35" i="6"/>
  <c r="D34" i="6"/>
  <c r="D33" i="6"/>
  <c r="D32" i="6"/>
  <c r="D31" i="6"/>
  <c r="D30" i="6"/>
  <c r="D29" i="6"/>
  <c r="D28" i="6"/>
  <c r="D27" i="6"/>
  <c r="D26" i="6"/>
  <c r="D25" i="6"/>
  <c r="D24" i="6"/>
  <c r="D23" i="6"/>
  <c r="D22" i="6"/>
  <c r="D21" i="6"/>
  <c r="D20" i="6"/>
  <c r="D24" i="5"/>
  <c r="D23" i="5"/>
  <c r="D35" i="4"/>
  <c r="D32" i="4"/>
  <c r="D30" i="4"/>
  <c r="D29" i="4"/>
  <c r="D26" i="4"/>
  <c r="D24" i="4"/>
  <c r="D23" i="4"/>
  <c r="D22" i="4"/>
  <c r="D59" i="9"/>
  <c r="D58" i="9"/>
  <c r="D57" i="9"/>
  <c r="D56" i="9"/>
  <c r="D55" i="9"/>
  <c r="D49" i="9"/>
  <c r="D34" i="9"/>
  <c r="D33" i="9"/>
  <c r="D21" i="9"/>
  <c r="D20" i="9"/>
  <c r="D14" i="9"/>
  <c r="D13" i="9"/>
  <c r="D12" i="9"/>
  <c r="D66" i="8"/>
  <c r="D65" i="8"/>
  <c r="D64" i="8"/>
  <c r="D63" i="8"/>
  <c r="D62" i="8"/>
  <c r="D43" i="8"/>
  <c r="D42" i="8"/>
  <c r="D23" i="8"/>
  <c r="D19" i="8"/>
  <c r="D15" i="8"/>
  <c r="D14" i="8"/>
  <c r="D13" i="8"/>
  <c r="D12" i="8"/>
  <c r="D66" i="7"/>
  <c r="D65" i="7"/>
  <c r="D64" i="7"/>
  <c r="D63" i="7"/>
  <c r="D62" i="7"/>
  <c r="D56" i="7"/>
  <c r="D43" i="7"/>
  <c r="D42" i="7"/>
  <c r="D17" i="7"/>
  <c r="D15" i="7"/>
  <c r="D14" i="7"/>
  <c r="D13" i="7"/>
  <c r="D12" i="7"/>
  <c r="D77" i="6"/>
  <c r="D76" i="6"/>
  <c r="D75" i="6"/>
  <c r="D74" i="6"/>
  <c r="D73" i="6"/>
  <c r="D67" i="6"/>
  <c r="D54" i="6"/>
  <c r="D53" i="6"/>
  <c r="D14" i="6"/>
  <c r="D13" i="6"/>
  <c r="D12" i="6"/>
  <c r="D69" i="5"/>
  <c r="D68" i="5"/>
  <c r="D67" i="5"/>
  <c r="D66" i="5"/>
  <c r="D65" i="5"/>
  <c r="D40" i="5"/>
  <c r="D20" i="5"/>
  <c r="D14" i="5"/>
  <c r="D13" i="5"/>
  <c r="D12" i="5"/>
  <c r="D67" i="4"/>
  <c r="D66" i="4"/>
  <c r="D65" i="4"/>
  <c r="D64" i="4"/>
  <c r="D63" i="4"/>
  <c r="D41" i="4"/>
  <c r="D40" i="4"/>
  <c r="D19" i="4"/>
  <c r="D14" i="4"/>
  <c r="D13" i="4"/>
  <c r="D12" i="4"/>
  <c r="D68" i="3"/>
  <c r="D67" i="3"/>
  <c r="D66" i="3"/>
  <c r="D65" i="3"/>
  <c r="D64" i="3"/>
  <c r="D58" i="3"/>
  <c r="D43" i="3"/>
  <c r="D42" i="3"/>
  <c r="D21" i="3"/>
  <c r="D20" i="3"/>
  <c r="D17" i="3"/>
  <c r="D14" i="3"/>
  <c r="D13" i="3"/>
  <c r="D12" i="3"/>
  <c r="B20" i="3"/>
  <c r="G20" i="3" s="1"/>
  <c r="C20" i="3"/>
  <c r="B21" i="3"/>
  <c r="G21" i="3" s="1"/>
  <c r="N21" i="3" s="1"/>
  <c r="C21" i="3"/>
  <c r="C23" i="6"/>
  <c r="B23" i="6"/>
  <c r="G23" i="6" s="1"/>
  <c r="K23" i="6" s="1"/>
  <c r="B22" i="6"/>
  <c r="E22" i="6" s="1"/>
  <c r="C22" i="6"/>
  <c r="B24" i="6"/>
  <c r="E24" i="6" s="1"/>
  <c r="C24" i="6"/>
  <c r="B59" i="5"/>
  <c r="C59" i="5"/>
  <c r="S9" i="3"/>
  <c r="S9" i="4"/>
  <c r="S9" i="5"/>
  <c r="S9" i="6"/>
  <c r="S9" i="7"/>
  <c r="S8" i="3"/>
  <c r="S8" i="4"/>
  <c r="S8" i="5"/>
  <c r="S8" i="6"/>
  <c r="S8" i="7"/>
  <c r="C21" i="9"/>
  <c r="B21" i="9"/>
  <c r="E21" i="9" s="1"/>
  <c r="C20" i="9"/>
  <c r="B20" i="9"/>
  <c r="E20" i="9" s="1"/>
  <c r="C59" i="9"/>
  <c r="B59" i="9"/>
  <c r="G59" i="9" s="1"/>
  <c r="L59" i="9" s="1"/>
  <c r="C58" i="9"/>
  <c r="B58" i="9"/>
  <c r="E58" i="9" s="1"/>
  <c r="C57" i="9"/>
  <c r="B57" i="9"/>
  <c r="E57" i="9" s="1"/>
  <c r="C56" i="9"/>
  <c r="B56" i="9"/>
  <c r="G56" i="9" s="1"/>
  <c r="K56" i="9" s="1"/>
  <c r="C55" i="9"/>
  <c r="B55" i="9"/>
  <c r="C49" i="9"/>
  <c r="B49" i="9"/>
  <c r="E49" i="9" s="1"/>
  <c r="C34" i="9"/>
  <c r="B34" i="9"/>
  <c r="E34" i="9" s="1"/>
  <c r="C33" i="9"/>
  <c r="B33" i="9"/>
  <c r="G33" i="9" s="1"/>
  <c r="K33" i="9" s="1"/>
  <c r="C14" i="9"/>
  <c r="B14" i="9"/>
  <c r="G14" i="9" s="1"/>
  <c r="C13" i="9"/>
  <c r="B13" i="9"/>
  <c r="G13" i="9" s="1"/>
  <c r="L13" i="9" s="1"/>
  <c r="C12" i="9"/>
  <c r="B12" i="9"/>
  <c r="E12" i="9" s="1"/>
  <c r="C23" i="8"/>
  <c r="B23" i="8"/>
  <c r="G23" i="8" s="1"/>
  <c r="L23" i="8" s="1"/>
  <c r="C22" i="8"/>
  <c r="B22" i="8"/>
  <c r="G22" i="8" s="1"/>
  <c r="M22" i="8" s="1"/>
  <c r="C66" i="8"/>
  <c r="B66" i="8"/>
  <c r="E66" i="8" s="1"/>
  <c r="C65" i="8"/>
  <c r="B65" i="8"/>
  <c r="G65" i="8" s="1"/>
  <c r="C64" i="8"/>
  <c r="B64" i="8"/>
  <c r="E64" i="8" s="1"/>
  <c r="C63" i="8"/>
  <c r="B63" i="8"/>
  <c r="G63" i="8" s="1"/>
  <c r="K63" i="8" s="1"/>
  <c r="C62" i="8"/>
  <c r="B62" i="8"/>
  <c r="E62" i="8" s="1"/>
  <c r="C43" i="8"/>
  <c r="B43" i="8"/>
  <c r="C42" i="8"/>
  <c r="B42" i="8"/>
  <c r="C19" i="8"/>
  <c r="B19" i="8"/>
  <c r="E19" i="8" s="1"/>
  <c r="C15" i="8"/>
  <c r="B15" i="8"/>
  <c r="E15" i="8" s="1"/>
  <c r="C14" i="8"/>
  <c r="B14" i="8"/>
  <c r="C13" i="8"/>
  <c r="B13" i="8"/>
  <c r="G13" i="8" s="1"/>
  <c r="C12" i="8"/>
  <c r="B12" i="8"/>
  <c r="G12" i="8" s="1"/>
  <c r="K12" i="8" s="1"/>
  <c r="C21" i="7"/>
  <c r="B21" i="7"/>
  <c r="G21" i="7" s="1"/>
  <c r="N21" i="7" s="1"/>
  <c r="C20" i="7"/>
  <c r="B20" i="7"/>
  <c r="G20" i="7" s="1"/>
  <c r="C66" i="7"/>
  <c r="B66" i="7"/>
  <c r="C65" i="7"/>
  <c r="B65" i="7"/>
  <c r="G65" i="7" s="1"/>
  <c r="M65" i="7" s="1"/>
  <c r="C64" i="7"/>
  <c r="B64" i="7"/>
  <c r="E64" i="7" s="1"/>
  <c r="C63" i="7"/>
  <c r="B63" i="7"/>
  <c r="G63" i="7" s="1"/>
  <c r="N63" i="7" s="1"/>
  <c r="C62" i="7"/>
  <c r="B62" i="7"/>
  <c r="C56" i="7"/>
  <c r="B56" i="7"/>
  <c r="E56" i="7" s="1"/>
  <c r="C43" i="7"/>
  <c r="B43" i="7"/>
  <c r="G43" i="7" s="1"/>
  <c r="M43" i="7" s="1"/>
  <c r="C42" i="7"/>
  <c r="B42" i="7"/>
  <c r="E42" i="7" s="1"/>
  <c r="C17" i="7"/>
  <c r="B17" i="7"/>
  <c r="E17" i="7" s="1"/>
  <c r="C15" i="7"/>
  <c r="B15" i="7"/>
  <c r="E15" i="7" s="1"/>
  <c r="C14" i="7"/>
  <c r="B14" i="7"/>
  <c r="G14" i="7" s="1"/>
  <c r="N14" i="7" s="1"/>
  <c r="C13" i="7"/>
  <c r="B13" i="7"/>
  <c r="E13" i="7" s="1"/>
  <c r="C12" i="7"/>
  <c r="B12" i="7"/>
  <c r="C50" i="6"/>
  <c r="B50" i="6"/>
  <c r="E50" i="6" s="1"/>
  <c r="C49" i="6"/>
  <c r="B49" i="6"/>
  <c r="G49" i="6" s="1"/>
  <c r="M49" i="6" s="1"/>
  <c r="C48" i="6"/>
  <c r="B48" i="6"/>
  <c r="G48" i="6" s="1"/>
  <c r="K48" i="6" s="1"/>
  <c r="C47" i="6"/>
  <c r="B47" i="6"/>
  <c r="G47" i="6" s="1"/>
  <c r="K47" i="6" s="1"/>
  <c r="C46" i="6"/>
  <c r="B46" i="6"/>
  <c r="E46" i="6" s="1"/>
  <c r="C45" i="6"/>
  <c r="B45" i="6"/>
  <c r="G45" i="6" s="1"/>
  <c r="N45" i="6" s="1"/>
  <c r="C44" i="6"/>
  <c r="B44" i="6"/>
  <c r="G44" i="6" s="1"/>
  <c r="L44" i="6" s="1"/>
  <c r="C43" i="6"/>
  <c r="B43" i="6"/>
  <c r="G43" i="6" s="1"/>
  <c r="K43" i="6" s="1"/>
  <c r="C42" i="6"/>
  <c r="B42" i="6"/>
  <c r="G42" i="6" s="1"/>
  <c r="M42" i="6" s="1"/>
  <c r="C39" i="6"/>
  <c r="B39" i="6"/>
  <c r="G39" i="6" s="1"/>
  <c r="N39" i="6" s="1"/>
  <c r="C38" i="6"/>
  <c r="B38" i="6"/>
  <c r="E38" i="6" s="1"/>
  <c r="C37" i="6"/>
  <c r="B37" i="6"/>
  <c r="E37" i="6" s="1"/>
  <c r="C36" i="6"/>
  <c r="B36" i="6"/>
  <c r="G36" i="6" s="1"/>
  <c r="M36" i="6" s="1"/>
  <c r="C35" i="6"/>
  <c r="B35" i="6"/>
  <c r="G35" i="6" s="1"/>
  <c r="K35" i="6" s="1"/>
  <c r="C34" i="6"/>
  <c r="B34" i="6"/>
  <c r="G34" i="6" s="1"/>
  <c r="C33" i="6"/>
  <c r="B33" i="6"/>
  <c r="E33" i="6" s="1"/>
  <c r="C32" i="6"/>
  <c r="B32" i="6"/>
  <c r="E32" i="6" s="1"/>
  <c r="C31" i="6"/>
  <c r="B31" i="6"/>
  <c r="G31" i="6" s="1"/>
  <c r="M31" i="6" s="1"/>
  <c r="C30" i="6"/>
  <c r="B30" i="6"/>
  <c r="E30" i="6" s="1"/>
  <c r="C29" i="6"/>
  <c r="B29" i="6"/>
  <c r="G29" i="6" s="1"/>
  <c r="N29" i="6" s="1"/>
  <c r="C28" i="6"/>
  <c r="B28" i="6"/>
  <c r="G28" i="6" s="1"/>
  <c r="K28" i="6" s="1"/>
  <c r="C27" i="6"/>
  <c r="B27" i="6"/>
  <c r="G27" i="6" s="1"/>
  <c r="C26" i="6"/>
  <c r="B26" i="6"/>
  <c r="G26" i="6" s="1"/>
  <c r="N26" i="6" s="1"/>
  <c r="C25" i="6"/>
  <c r="B25" i="6"/>
  <c r="E25" i="6" s="1"/>
  <c r="C21" i="6"/>
  <c r="B21" i="6"/>
  <c r="G21" i="6" s="1"/>
  <c r="L21" i="6" s="1"/>
  <c r="C20" i="6"/>
  <c r="B20" i="6"/>
  <c r="G20" i="6" s="1"/>
  <c r="N20" i="6" s="1"/>
  <c r="C77" i="6"/>
  <c r="B77" i="6"/>
  <c r="G77" i="6" s="1"/>
  <c r="C76" i="6"/>
  <c r="B76" i="6"/>
  <c r="E76" i="6" s="1"/>
  <c r="C75" i="6"/>
  <c r="B75" i="6"/>
  <c r="G75" i="6" s="1"/>
  <c r="K75" i="6" s="1"/>
  <c r="C74" i="6"/>
  <c r="B74" i="6"/>
  <c r="G74" i="6" s="1"/>
  <c r="K74" i="6" s="1"/>
  <c r="C73" i="6"/>
  <c r="B73" i="6"/>
  <c r="G73" i="6" s="1"/>
  <c r="C67" i="6"/>
  <c r="E67" i="6"/>
  <c r="C54" i="6"/>
  <c r="B54" i="6"/>
  <c r="G54" i="6" s="1"/>
  <c r="M54" i="6" s="1"/>
  <c r="C53" i="6"/>
  <c r="B53" i="6"/>
  <c r="C14" i="6"/>
  <c r="B14" i="6"/>
  <c r="E14" i="6" s="1"/>
  <c r="C13" i="6"/>
  <c r="B13" i="6"/>
  <c r="E13" i="6" s="1"/>
  <c r="C12" i="6"/>
  <c r="B12" i="6"/>
  <c r="G12" i="6" s="1"/>
  <c r="K12" i="6" s="1"/>
  <c r="C69" i="5"/>
  <c r="B69" i="5"/>
  <c r="C68" i="5"/>
  <c r="B68" i="5"/>
  <c r="G68" i="5" s="1"/>
  <c r="M68" i="5" s="1"/>
  <c r="C67" i="5"/>
  <c r="B67" i="5"/>
  <c r="E67" i="5" s="1"/>
  <c r="C66" i="5"/>
  <c r="B66" i="5"/>
  <c r="E66" i="5" s="1"/>
  <c r="C65" i="5"/>
  <c r="B65" i="5"/>
  <c r="E65" i="5" s="1"/>
  <c r="C41" i="5"/>
  <c r="B41" i="5"/>
  <c r="E41" i="5" s="1"/>
  <c r="C40" i="5"/>
  <c r="B40" i="5"/>
  <c r="E40" i="5" s="1"/>
  <c r="C24" i="5"/>
  <c r="B24" i="5"/>
  <c r="G24" i="5" s="1"/>
  <c r="L24" i="5" s="1"/>
  <c r="C23" i="5"/>
  <c r="B23" i="5"/>
  <c r="G23" i="5" s="1"/>
  <c r="C20" i="5"/>
  <c r="B20" i="5"/>
  <c r="E20" i="5" s="1"/>
  <c r="C14" i="5"/>
  <c r="B14" i="5"/>
  <c r="E14" i="5" s="1"/>
  <c r="C13" i="5"/>
  <c r="B13" i="5"/>
  <c r="E13" i="5" s="1"/>
  <c r="C12" i="5"/>
  <c r="B12" i="5"/>
  <c r="E12" i="5" s="1"/>
  <c r="C67" i="4"/>
  <c r="B67" i="4"/>
  <c r="C66" i="4"/>
  <c r="B66" i="4"/>
  <c r="G66" i="4" s="1"/>
  <c r="L66" i="4" s="1"/>
  <c r="C65" i="4"/>
  <c r="B65" i="4"/>
  <c r="E65" i="4" s="1"/>
  <c r="C64" i="4"/>
  <c r="B64" i="4"/>
  <c r="G64" i="4" s="1"/>
  <c r="N64" i="4" s="1"/>
  <c r="C63" i="4"/>
  <c r="B63" i="4"/>
  <c r="G63" i="4" s="1"/>
  <c r="C41" i="4"/>
  <c r="B41" i="4"/>
  <c r="E41" i="4" s="1"/>
  <c r="C40" i="4"/>
  <c r="B40" i="4"/>
  <c r="E40" i="4" s="1"/>
  <c r="C35" i="4"/>
  <c r="B35" i="4"/>
  <c r="C32" i="4"/>
  <c r="B32" i="4"/>
  <c r="E32" i="4" s="1"/>
  <c r="C30" i="4"/>
  <c r="B30" i="4"/>
  <c r="E30" i="4" s="1"/>
  <c r="C29" i="4"/>
  <c r="B29" i="4"/>
  <c r="C26" i="4"/>
  <c r="B26" i="4"/>
  <c r="E26" i="4" s="1"/>
  <c r="C24" i="4"/>
  <c r="B24" i="4"/>
  <c r="E24" i="4" s="1"/>
  <c r="C23" i="4"/>
  <c r="B23" i="4"/>
  <c r="G23" i="4" s="1"/>
  <c r="C22" i="4"/>
  <c r="B22" i="4"/>
  <c r="G22" i="4" s="1"/>
  <c r="C19" i="4"/>
  <c r="B19" i="4"/>
  <c r="G19" i="4" s="1"/>
  <c r="C14" i="4"/>
  <c r="B14" i="4"/>
  <c r="G14" i="4" s="1"/>
  <c r="L14" i="4" s="1"/>
  <c r="C13" i="4"/>
  <c r="B13" i="4"/>
  <c r="C12" i="4"/>
  <c r="B12" i="4"/>
  <c r="G12" i="4" s="1"/>
  <c r="M12" i="4" s="1"/>
  <c r="B3" i="9"/>
  <c r="T9" i="9"/>
  <c r="B3" i="8"/>
  <c r="T9" i="8"/>
  <c r="B2" i="7"/>
  <c r="B3" i="7"/>
  <c r="B2" i="6"/>
  <c r="B7" i="6"/>
  <c r="B2" i="5"/>
  <c r="B3" i="5"/>
  <c r="B7" i="5"/>
  <c r="B2" i="4"/>
  <c r="B3" i="4"/>
  <c r="B7" i="4"/>
  <c r="B2" i="3"/>
  <c r="B3" i="3"/>
  <c r="B7" i="3"/>
  <c r="B12" i="3"/>
  <c r="C12" i="3"/>
  <c r="B13" i="3"/>
  <c r="E13" i="3" s="1"/>
  <c r="C13" i="3"/>
  <c r="B14" i="3"/>
  <c r="C14" i="3"/>
  <c r="B17" i="3"/>
  <c r="E17" i="3" s="1"/>
  <c r="C17" i="3"/>
  <c r="T9" i="3"/>
  <c r="B42" i="3"/>
  <c r="E42" i="3" s="1"/>
  <c r="C42" i="3"/>
  <c r="B43" i="3"/>
  <c r="E43" i="3" s="1"/>
  <c r="C43" i="3"/>
  <c r="B58" i="3"/>
  <c r="E58" i="3" s="1"/>
  <c r="C58" i="3"/>
  <c r="B64" i="3"/>
  <c r="E64" i="3" s="1"/>
  <c r="C64" i="3"/>
  <c r="B65" i="3"/>
  <c r="E65" i="3" s="1"/>
  <c r="C65" i="3"/>
  <c r="B66" i="3"/>
  <c r="E66" i="3" s="1"/>
  <c r="C66" i="3"/>
  <c r="B67" i="3"/>
  <c r="E67" i="3" s="1"/>
  <c r="C67" i="3"/>
  <c r="B68" i="3"/>
  <c r="C68" i="3"/>
  <c r="L52" i="3" l="1"/>
  <c r="L34" i="7"/>
  <c r="M32" i="3"/>
  <c r="K31" i="3"/>
  <c r="K51" i="8"/>
  <c r="K34" i="7"/>
  <c r="M51" i="8"/>
  <c r="L51" i="8"/>
  <c r="K35" i="5"/>
  <c r="N35" i="5"/>
  <c r="K45" i="9"/>
  <c r="N44" i="9"/>
  <c r="L145" i="11"/>
  <c r="M35" i="5"/>
  <c r="N45" i="9"/>
  <c r="L149" i="11"/>
  <c r="L54" i="11"/>
  <c r="H51" i="8"/>
  <c r="J51" i="8" s="1"/>
  <c r="I51" i="8" s="1"/>
  <c r="H32" i="3"/>
  <c r="J32" i="3" s="1"/>
  <c r="I32" i="3" s="1"/>
  <c r="H34" i="3"/>
  <c r="H50" i="5"/>
  <c r="J50" i="5" s="1"/>
  <c r="I50" i="5" s="1"/>
  <c r="J16" i="9"/>
  <c r="I16" i="9" s="1"/>
  <c r="J17" i="5"/>
  <c r="I17" i="5" s="1"/>
  <c r="H35" i="5"/>
  <c r="J35" i="5" s="1"/>
  <c r="I35" i="5" s="1"/>
  <c r="H47" i="9"/>
  <c r="J47" i="9" s="1"/>
  <c r="I47" i="9" s="1"/>
  <c r="H61" i="6"/>
  <c r="J61" i="6" s="1"/>
  <c r="I61" i="6" s="1"/>
  <c r="H34" i="8"/>
  <c r="J34" i="8" s="1"/>
  <c r="I34" i="8" s="1"/>
  <c r="J35" i="8"/>
  <c r="I35" i="8" s="1"/>
  <c r="H42" i="9"/>
  <c r="J42" i="9" s="1"/>
  <c r="I42" i="9" s="1"/>
  <c r="H53" i="4"/>
  <c r="J53" i="4" s="1"/>
  <c r="I53" i="4" s="1"/>
  <c r="N51" i="3"/>
  <c r="M44" i="9"/>
  <c r="K52" i="4"/>
  <c r="N33" i="7"/>
  <c r="M52" i="4"/>
  <c r="M33" i="7"/>
  <c r="N54" i="4"/>
  <c r="M34" i="7"/>
  <c r="H44" i="5"/>
  <c r="J44" i="5" s="1"/>
  <c r="I44" i="5" s="1"/>
  <c r="J52" i="4"/>
  <c r="I52" i="4" s="1"/>
  <c r="J54" i="4"/>
  <c r="I54" i="4" s="1"/>
  <c r="H50" i="3"/>
  <c r="J50" i="3" s="1"/>
  <c r="I50" i="3" s="1"/>
  <c r="H31" i="3"/>
  <c r="J31" i="3" s="1"/>
  <c r="I31" i="3" s="1"/>
  <c r="H51" i="4"/>
  <c r="J51" i="4" s="1"/>
  <c r="I51" i="4" s="1"/>
  <c r="J34" i="5"/>
  <c r="I34" i="5" s="1"/>
  <c r="H44" i="9"/>
  <c r="J44" i="9" s="1"/>
  <c r="I44" i="9" s="1"/>
  <c r="H34" i="7"/>
  <c r="J34" i="7" s="1"/>
  <c r="I34" i="7" s="1"/>
  <c r="H52" i="3"/>
  <c r="J52" i="3" s="1"/>
  <c r="I52" i="3" s="1"/>
  <c r="H19" i="5"/>
  <c r="J19" i="5" s="1"/>
  <c r="I19" i="5" s="1"/>
  <c r="H46" i="9"/>
  <c r="J46" i="9" s="1"/>
  <c r="I46" i="9" s="1"/>
  <c r="J45" i="9"/>
  <c r="I45" i="9" s="1"/>
  <c r="H63" i="6"/>
  <c r="J63" i="6" s="1"/>
  <c r="I63" i="6" s="1"/>
  <c r="H45" i="3"/>
  <c r="J45" i="3" s="1"/>
  <c r="I45" i="3" s="1"/>
  <c r="N50" i="3"/>
  <c r="N34" i="5"/>
  <c r="L50" i="3"/>
  <c r="M43" i="9"/>
  <c r="K50" i="3"/>
  <c r="K34" i="5"/>
  <c r="N35" i="8"/>
  <c r="M35" i="8"/>
  <c r="K51" i="3"/>
  <c r="M18" i="5"/>
  <c r="N18" i="5"/>
  <c r="M51" i="3"/>
  <c r="N43" i="9"/>
  <c r="L34" i="5"/>
  <c r="K43" i="9"/>
  <c r="K18" i="5"/>
  <c r="K32" i="3"/>
  <c r="K61" i="6"/>
  <c r="L34" i="8"/>
  <c r="N34" i="8"/>
  <c r="K34" i="8"/>
  <c r="M34" i="8"/>
  <c r="N61" i="6"/>
  <c r="M61" i="6"/>
  <c r="M17" i="5"/>
  <c r="L19" i="5"/>
  <c r="N19" i="5"/>
  <c r="K35" i="8"/>
  <c r="L32" i="3"/>
  <c r="M45" i="9"/>
  <c r="L44" i="9"/>
  <c r="K17" i="5"/>
  <c r="M19" i="5"/>
  <c r="M31" i="3"/>
  <c r="N17" i="5"/>
  <c r="N31" i="3"/>
  <c r="H38" i="7"/>
  <c r="J38" i="7" s="1"/>
  <c r="I38" i="7" s="1"/>
  <c r="H44" i="7"/>
  <c r="J44" i="7" s="1"/>
  <c r="I44" i="7" s="1"/>
  <c r="H42" i="5"/>
  <c r="J42" i="5" s="1"/>
  <c r="I42" i="5" s="1"/>
  <c r="H43" i="5"/>
  <c r="H17" i="8"/>
  <c r="J17" i="8" s="1"/>
  <c r="I17" i="8" s="1"/>
  <c r="H47" i="7"/>
  <c r="J47" i="7" s="1"/>
  <c r="I47" i="7" s="1"/>
  <c r="H54" i="7"/>
  <c r="J54" i="7" s="1"/>
  <c r="I54" i="7" s="1"/>
  <c r="H36" i="7"/>
  <c r="J36" i="7" s="1"/>
  <c r="I36" i="7" s="1"/>
  <c r="J34" i="3"/>
  <c r="I34" i="3" s="1"/>
  <c r="H44" i="8"/>
  <c r="J44" i="8" s="1"/>
  <c r="I44" i="8" s="1"/>
  <c r="H24" i="8"/>
  <c r="J24" i="8" s="1"/>
  <c r="I24" i="8" s="1"/>
  <c r="H16" i="3"/>
  <c r="J16" i="3" s="1"/>
  <c r="I16" i="3" s="1"/>
  <c r="H41" i="9"/>
  <c r="J41" i="9" s="1"/>
  <c r="I41" i="9" s="1"/>
  <c r="H35" i="3"/>
  <c r="J35" i="3" s="1"/>
  <c r="I35" i="3" s="1"/>
  <c r="H55" i="3"/>
  <c r="J55" i="3" s="1"/>
  <c r="I55" i="3" s="1"/>
  <c r="H33" i="8"/>
  <c r="J33" i="8" s="1"/>
  <c r="I33" i="8" s="1"/>
  <c r="L55" i="11"/>
  <c r="L53" i="11"/>
  <c r="L52" i="11"/>
  <c r="L51" i="11"/>
  <c r="K50" i="5"/>
  <c r="L50" i="5"/>
  <c r="M50" i="5"/>
  <c r="N50" i="5"/>
  <c r="K51" i="7"/>
  <c r="L51" i="7"/>
  <c r="M51" i="7"/>
  <c r="N51" i="7"/>
  <c r="N52" i="7"/>
  <c r="K52" i="7"/>
  <c r="M52" i="7"/>
  <c r="L52" i="7"/>
  <c r="K36" i="7"/>
  <c r="L36" i="7"/>
  <c r="M36" i="7"/>
  <c r="N36" i="7"/>
  <c r="K16" i="6"/>
  <c r="M16" i="6"/>
  <c r="N16" i="6"/>
  <c r="L16" i="6"/>
  <c r="K48" i="9"/>
  <c r="M48" i="9"/>
  <c r="L48" i="9"/>
  <c r="N48" i="9"/>
  <c r="L63" i="6"/>
  <c r="M63" i="6"/>
  <c r="K63" i="6"/>
  <c r="N63" i="6"/>
  <c r="K45" i="3"/>
  <c r="L45" i="3"/>
  <c r="M45" i="3"/>
  <c r="N45" i="3"/>
  <c r="L47" i="9"/>
  <c r="K47" i="9"/>
  <c r="M47" i="9"/>
  <c r="N47" i="9"/>
  <c r="K53" i="7"/>
  <c r="N53" i="7"/>
  <c r="L53" i="7"/>
  <c r="M53" i="7"/>
  <c r="L54" i="8"/>
  <c r="K54" i="8"/>
  <c r="M54" i="8"/>
  <c r="N54" i="8"/>
  <c r="M51" i="4"/>
  <c r="N51" i="4"/>
  <c r="L51" i="4"/>
  <c r="K51" i="4"/>
  <c r="L41" i="9"/>
  <c r="K41" i="9"/>
  <c r="N41" i="9"/>
  <c r="M41" i="9"/>
  <c r="L46" i="9"/>
  <c r="K46" i="9"/>
  <c r="M46" i="9"/>
  <c r="N46" i="9"/>
  <c r="N55" i="8"/>
  <c r="M55" i="8"/>
  <c r="K55" i="8"/>
  <c r="L55" i="8"/>
  <c r="G30" i="29"/>
  <c r="G9" i="29"/>
  <c r="G190" i="29"/>
  <c r="G124" i="29"/>
  <c r="H36" i="3"/>
  <c r="J36" i="3" s="1"/>
  <c r="I36" i="3" s="1"/>
  <c r="H66" i="6"/>
  <c r="J66" i="6" s="1"/>
  <c r="I66" i="6" s="1"/>
  <c r="H46" i="7"/>
  <c r="J46" i="7" s="1"/>
  <c r="I46" i="7" s="1"/>
  <c r="H27" i="5"/>
  <c r="J27" i="5" s="1"/>
  <c r="I27" i="5" s="1"/>
  <c r="H32" i="8"/>
  <c r="J32" i="8" s="1"/>
  <c r="I32" i="8" s="1"/>
  <c r="H45" i="5"/>
  <c r="J45" i="5" s="1"/>
  <c r="I45" i="5" s="1"/>
  <c r="H16" i="7"/>
  <c r="J16" i="7" s="1"/>
  <c r="I16" i="7" s="1"/>
  <c r="H18" i="8"/>
  <c r="J18" i="8" s="1"/>
  <c r="I18" i="8" s="1"/>
  <c r="H65" i="6"/>
  <c r="J65" i="6" s="1"/>
  <c r="I65" i="6" s="1"/>
  <c r="H57" i="3"/>
  <c r="J57" i="3" s="1"/>
  <c r="I57" i="3" s="1"/>
  <c r="H33" i="3"/>
  <c r="J33" i="3" s="1"/>
  <c r="I33" i="3" s="1"/>
  <c r="H46" i="5"/>
  <c r="J46" i="5" s="1"/>
  <c r="I46" i="5" s="1"/>
  <c r="H26" i="7"/>
  <c r="J26" i="7" s="1"/>
  <c r="I26" i="7" s="1"/>
  <c r="J43" i="5"/>
  <c r="I43" i="5" s="1"/>
  <c r="H57" i="6"/>
  <c r="J57" i="6" s="1"/>
  <c r="I57" i="6" s="1"/>
  <c r="H56" i="3"/>
  <c r="J56" i="3" s="1"/>
  <c r="I56" i="3" s="1"/>
  <c r="H31" i="7"/>
  <c r="J31" i="7" s="1"/>
  <c r="I31" i="7" s="1"/>
  <c r="H32" i="7"/>
  <c r="J32" i="7" s="1"/>
  <c r="I32" i="7" s="1"/>
  <c r="H30" i="3"/>
  <c r="J30" i="3" s="1"/>
  <c r="I30" i="3" s="1"/>
  <c r="K44" i="8"/>
  <c r="L44" i="8"/>
  <c r="M44" i="8"/>
  <c r="N44" i="8"/>
  <c r="N36" i="3"/>
  <c r="M36" i="3"/>
  <c r="K36" i="3"/>
  <c r="L36" i="3"/>
  <c r="L45" i="5"/>
  <c r="K45" i="5"/>
  <c r="N45" i="5"/>
  <c r="M45" i="5"/>
  <c r="L44" i="7"/>
  <c r="N44" i="7"/>
  <c r="M44" i="7"/>
  <c r="K44" i="7"/>
  <c r="M46" i="7"/>
  <c r="L46" i="7"/>
  <c r="K46" i="7"/>
  <c r="N46" i="7"/>
  <c r="K16" i="7"/>
  <c r="L16" i="7"/>
  <c r="N16" i="7"/>
  <c r="M16" i="7"/>
  <c r="K35" i="3"/>
  <c r="N35" i="3"/>
  <c r="L35" i="3"/>
  <c r="M35" i="3"/>
  <c r="K34" i="3"/>
  <c r="L34" i="3"/>
  <c r="N34" i="3"/>
  <c r="M34" i="3"/>
  <c r="K26" i="7"/>
  <c r="M26" i="7"/>
  <c r="N26" i="7"/>
  <c r="L26" i="7"/>
  <c r="L45" i="7"/>
  <c r="K45" i="7"/>
  <c r="M45" i="7"/>
  <c r="N45" i="7"/>
  <c r="K43" i="5"/>
  <c r="L43" i="5"/>
  <c r="N43" i="5"/>
  <c r="M43" i="5"/>
  <c r="M24" i="8"/>
  <c r="N24" i="8"/>
  <c r="L24" i="8"/>
  <c r="K24" i="8"/>
  <c r="L44" i="5"/>
  <c r="K44" i="5"/>
  <c r="N44" i="5"/>
  <c r="M44" i="5"/>
  <c r="K37" i="3"/>
  <c r="M37" i="3"/>
  <c r="L37" i="3"/>
  <c r="N37" i="3"/>
  <c r="K46" i="5"/>
  <c r="M46" i="5"/>
  <c r="N46" i="5"/>
  <c r="L46" i="5"/>
  <c r="L42" i="5"/>
  <c r="K42" i="5"/>
  <c r="N42" i="5"/>
  <c r="M42" i="5"/>
  <c r="K47" i="7"/>
  <c r="M47" i="7"/>
  <c r="L47" i="7"/>
  <c r="N47" i="7"/>
  <c r="H153" i="29"/>
  <c r="H95" i="29"/>
  <c r="H76" i="29"/>
  <c r="G158" i="29"/>
  <c r="G180" i="29"/>
  <c r="F91" i="29"/>
  <c r="F166" i="29"/>
  <c r="F95" i="29"/>
  <c r="F123" i="29"/>
  <c r="F30" i="29"/>
  <c r="F102" i="29"/>
  <c r="F183" i="29"/>
  <c r="F80" i="29"/>
  <c r="F168" i="29"/>
  <c r="E166" i="29"/>
  <c r="I30" i="29"/>
  <c r="I166" i="29"/>
  <c r="I102" i="29"/>
  <c r="J183" i="29"/>
  <c r="J164" i="29"/>
  <c r="J153" i="29"/>
  <c r="J91" i="29"/>
  <c r="J80" i="29"/>
  <c r="J168" i="29"/>
  <c r="J166" i="29"/>
  <c r="J74" i="29"/>
  <c r="J95" i="29"/>
  <c r="J30" i="29"/>
  <c r="J102" i="29"/>
  <c r="E75" i="29"/>
  <c r="G185" i="29"/>
  <c r="G199" i="29"/>
  <c r="G103" i="29"/>
  <c r="G198" i="29"/>
  <c r="G148" i="29"/>
  <c r="G77" i="29"/>
  <c r="G28" i="29"/>
  <c r="G107" i="29"/>
  <c r="G192" i="29"/>
  <c r="G90" i="29"/>
  <c r="G25" i="29"/>
  <c r="G24" i="29"/>
  <c r="G153" i="29"/>
  <c r="G206" i="29"/>
  <c r="G6" i="29"/>
  <c r="G84" i="29"/>
  <c r="G99" i="29"/>
  <c r="G178" i="29"/>
  <c r="G18" i="29"/>
  <c r="G136" i="29"/>
  <c r="G16" i="29"/>
  <c r="G161" i="29"/>
  <c r="G159" i="29"/>
  <c r="G55" i="29"/>
  <c r="G134" i="29"/>
  <c r="G85" i="29"/>
  <c r="G68" i="29"/>
  <c r="G203" i="29"/>
  <c r="G59" i="29"/>
  <c r="G122" i="29"/>
  <c r="G65" i="29"/>
  <c r="G64" i="29"/>
  <c r="G131" i="29"/>
  <c r="G111" i="29"/>
  <c r="G118" i="29"/>
  <c r="G22" i="29"/>
  <c r="G140" i="29"/>
  <c r="G126" i="29"/>
  <c r="G35" i="29"/>
  <c r="G50" i="29"/>
  <c r="G96" i="29"/>
  <c r="G20" i="29"/>
  <c r="G4" i="29"/>
  <c r="G60" i="29"/>
  <c r="G67" i="29"/>
  <c r="G57" i="29"/>
  <c r="G139" i="29"/>
  <c r="G94" i="29"/>
  <c r="G195" i="29"/>
  <c r="G58" i="29"/>
  <c r="G104" i="29"/>
  <c r="G105" i="29"/>
  <c r="G117" i="29"/>
  <c r="G115" i="29"/>
  <c r="G66" i="29"/>
  <c r="G89" i="29"/>
  <c r="G37" i="29"/>
  <c r="G162" i="29"/>
  <c r="G144" i="29"/>
  <c r="G167" i="29"/>
  <c r="G150" i="29"/>
  <c r="G61" i="29"/>
  <c r="G83" i="29"/>
  <c r="G73" i="29"/>
  <c r="G172" i="29"/>
  <c r="G166" i="29"/>
  <c r="G188" i="29"/>
  <c r="G146" i="29"/>
  <c r="G120" i="29"/>
  <c r="G121" i="29"/>
  <c r="G39" i="29"/>
  <c r="G69" i="29"/>
  <c r="G171" i="29"/>
  <c r="G98" i="29"/>
  <c r="G48" i="29"/>
  <c r="G87" i="29"/>
  <c r="G110" i="29"/>
  <c r="G108" i="29"/>
  <c r="G179" i="29"/>
  <c r="G10" i="29"/>
  <c r="G72" i="29"/>
  <c r="G114" i="29"/>
  <c r="G201" i="29"/>
  <c r="G113" i="29"/>
  <c r="G119" i="29"/>
  <c r="G31" i="29"/>
  <c r="G38" i="29"/>
  <c r="G93" i="29"/>
  <c r="G44" i="29"/>
  <c r="G155" i="29"/>
  <c r="G11" i="29"/>
  <c r="G106" i="29"/>
  <c r="G41" i="29"/>
  <c r="G40" i="29"/>
  <c r="G189" i="29"/>
  <c r="G7" i="29"/>
  <c r="G54" i="29"/>
  <c r="G100" i="29"/>
  <c r="G163" i="29"/>
  <c r="G160" i="29"/>
  <c r="G42" i="29"/>
  <c r="G149" i="29"/>
  <c r="G88" i="29"/>
  <c r="G177" i="29"/>
  <c r="G175" i="29"/>
  <c r="G71" i="29"/>
  <c r="G174" i="29"/>
  <c r="G101" i="29"/>
  <c r="G132" i="29"/>
  <c r="G156" i="29"/>
  <c r="G75" i="29"/>
  <c r="G154" i="29"/>
  <c r="G26" i="29"/>
  <c r="G17" i="29"/>
  <c r="G200" i="29"/>
  <c r="G135" i="29"/>
  <c r="G182" i="29"/>
  <c r="G46" i="29"/>
  <c r="G21" i="29"/>
  <c r="G76" i="29"/>
  <c r="G51" i="29"/>
  <c r="G74" i="29"/>
  <c r="G112" i="29"/>
  <c r="G78" i="29"/>
  <c r="G109" i="29"/>
  <c r="G187" i="29"/>
  <c r="G138" i="29"/>
  <c r="G56" i="29"/>
  <c r="G79" i="29"/>
  <c r="G29" i="29"/>
  <c r="G27" i="29"/>
  <c r="G181" i="29"/>
  <c r="G193" i="29"/>
  <c r="G191" i="29"/>
  <c r="G184" i="29"/>
  <c r="G194" i="29"/>
  <c r="G32" i="29"/>
  <c r="G62" i="29"/>
  <c r="G147" i="29"/>
  <c r="G8" i="29"/>
  <c r="G169" i="29"/>
  <c r="G176" i="29"/>
  <c r="G129" i="29"/>
  <c r="G151" i="29"/>
  <c r="G47" i="29"/>
  <c r="G70" i="29"/>
  <c r="G127" i="29"/>
  <c r="G36" i="29"/>
  <c r="G33" i="29"/>
  <c r="G15" i="29"/>
  <c r="G92" i="29"/>
  <c r="G130" i="29"/>
  <c r="G157" i="29"/>
  <c r="G63" i="29"/>
  <c r="G125" i="29"/>
  <c r="G12" i="29"/>
  <c r="G170" i="29"/>
  <c r="G128" i="29"/>
  <c r="G137" i="29"/>
  <c r="G133" i="29"/>
  <c r="G43" i="29"/>
  <c r="G196" i="29"/>
  <c r="G142" i="29"/>
  <c r="G143" i="29"/>
  <c r="G141" i="29"/>
  <c r="G52" i="29"/>
  <c r="G173" i="29"/>
  <c r="G49" i="29"/>
  <c r="G145" i="29"/>
  <c r="G86" i="29"/>
  <c r="G202" i="29"/>
  <c r="G97" i="29"/>
  <c r="I197" i="29"/>
  <c r="I89" i="29"/>
  <c r="I94" i="29"/>
  <c r="I93" i="29"/>
  <c r="I205" i="29"/>
  <c r="I44" i="29"/>
  <c r="I171" i="29"/>
  <c r="I27" i="29"/>
  <c r="I98" i="29"/>
  <c r="I65" i="29"/>
  <c r="I200" i="29"/>
  <c r="I112" i="29"/>
  <c r="I105" i="29"/>
  <c r="I111" i="29"/>
  <c r="I54" i="29"/>
  <c r="I109" i="29"/>
  <c r="I172" i="29"/>
  <c r="I195" i="29"/>
  <c r="I66" i="29"/>
  <c r="I202" i="29"/>
  <c r="I104" i="29"/>
  <c r="I184" i="29"/>
  <c r="I145" i="29"/>
  <c r="I71" i="29"/>
  <c r="I134" i="29"/>
  <c r="I62" i="29"/>
  <c r="I154" i="29"/>
  <c r="I52" i="29"/>
  <c r="I131" i="29"/>
  <c r="I181" i="29"/>
  <c r="I18" i="29"/>
  <c r="I25" i="29"/>
  <c r="I185" i="29"/>
  <c r="I143" i="29"/>
  <c r="I126" i="29"/>
  <c r="I6" i="29"/>
  <c r="I53" i="29"/>
  <c r="I84" i="29"/>
  <c r="I59" i="29"/>
  <c r="I90" i="29"/>
  <c r="I33" i="29"/>
  <c r="I120" i="29"/>
  <c r="I8" i="29"/>
  <c r="I206" i="29"/>
  <c r="I164" i="29"/>
  <c r="I162" i="29"/>
  <c r="I85" i="29"/>
  <c r="I147" i="29"/>
  <c r="I41" i="29"/>
  <c r="I97" i="29"/>
  <c r="I101" i="29"/>
  <c r="I58" i="29"/>
  <c r="I64" i="29"/>
  <c r="I110" i="29"/>
  <c r="I158" i="29"/>
  <c r="I189" i="29"/>
  <c r="I135" i="29"/>
  <c r="I13" i="29"/>
  <c r="I74" i="29"/>
  <c r="I124" i="29"/>
  <c r="I178" i="29"/>
  <c r="I129" i="29"/>
  <c r="I31" i="29"/>
  <c r="I133" i="29"/>
  <c r="I21" i="29"/>
  <c r="I100" i="29"/>
  <c r="I203" i="29"/>
  <c r="I75" i="29"/>
  <c r="I99" i="29"/>
  <c r="I92" i="29"/>
  <c r="I9" i="29"/>
  <c r="I24" i="29"/>
  <c r="I137" i="29"/>
  <c r="I151" i="29"/>
  <c r="I7" i="29"/>
  <c r="I117" i="29"/>
  <c r="I173" i="29"/>
  <c r="I12" i="29"/>
  <c r="I106" i="29"/>
  <c r="I142" i="29"/>
  <c r="I176" i="29"/>
  <c r="I174" i="29"/>
  <c r="I169" i="29"/>
  <c r="I79" i="29"/>
  <c r="I191" i="29"/>
  <c r="I70" i="29"/>
  <c r="I37" i="29"/>
  <c r="I60" i="29"/>
  <c r="I163" i="29"/>
  <c r="I19" i="29"/>
  <c r="I26" i="29"/>
  <c r="I81" i="29"/>
  <c r="I4" i="29"/>
  <c r="I167" i="29"/>
  <c r="I39" i="29"/>
  <c r="I22" i="29"/>
  <c r="I61" i="29"/>
  <c r="I148" i="29"/>
  <c r="I155" i="29"/>
  <c r="I122" i="29"/>
  <c r="I57" i="29"/>
  <c r="I136" i="29"/>
  <c r="I32" i="29"/>
  <c r="I45" i="29"/>
  <c r="I5" i="29"/>
  <c r="I128" i="29"/>
  <c r="I38" i="29"/>
  <c r="I36" i="29"/>
  <c r="I50" i="29"/>
  <c r="I194" i="29"/>
  <c r="I46" i="29"/>
  <c r="I139" i="29"/>
  <c r="I48" i="29"/>
  <c r="I47" i="29"/>
  <c r="I150" i="29"/>
  <c r="I115" i="29"/>
  <c r="I161" i="29"/>
  <c r="I182" i="29"/>
  <c r="I43" i="29"/>
  <c r="I192" i="29"/>
  <c r="I82" i="29"/>
  <c r="I165" i="29"/>
  <c r="I201" i="29"/>
  <c r="I127" i="29"/>
  <c r="I138" i="29"/>
  <c r="I77" i="29"/>
  <c r="I156" i="29"/>
  <c r="I20" i="29"/>
  <c r="I83" i="29"/>
  <c r="I149" i="29"/>
  <c r="I170" i="29"/>
  <c r="I17" i="29"/>
  <c r="I96" i="29"/>
  <c r="I193" i="29"/>
  <c r="I199" i="29"/>
  <c r="I63" i="29"/>
  <c r="I141" i="29"/>
  <c r="I29" i="29"/>
  <c r="I108" i="29"/>
  <c r="I107" i="29"/>
  <c r="I198" i="29"/>
  <c r="I49" i="29"/>
  <c r="I16" i="29"/>
  <c r="I40" i="29"/>
  <c r="I159" i="29"/>
  <c r="I15" i="29"/>
  <c r="I78" i="29"/>
  <c r="I125" i="29"/>
  <c r="I76" i="29"/>
  <c r="I187" i="29"/>
  <c r="I35" i="29"/>
  <c r="I130" i="29"/>
  <c r="I157" i="29"/>
  <c r="I132" i="29"/>
  <c r="I121" i="29"/>
  <c r="I87" i="29"/>
  <c r="I86" i="29"/>
  <c r="I69" i="29"/>
  <c r="I188" i="29"/>
  <c r="I179" i="29"/>
  <c r="I28" i="29"/>
  <c r="I42" i="29"/>
  <c r="I152" i="29"/>
  <c r="I56" i="29"/>
  <c r="I67" i="29"/>
  <c r="I14" i="29"/>
  <c r="I119" i="29"/>
  <c r="I175" i="29"/>
  <c r="I196" i="29"/>
  <c r="I11" i="29"/>
  <c r="I160" i="29"/>
  <c r="I103" i="29"/>
  <c r="I116" i="29"/>
  <c r="I73" i="29"/>
  <c r="I113" i="29"/>
  <c r="I180" i="29"/>
  <c r="I140" i="29"/>
  <c r="I144" i="29"/>
  <c r="I118" i="29"/>
  <c r="I68" i="29"/>
  <c r="I88" i="29"/>
  <c r="I51" i="29"/>
  <c r="I204" i="29"/>
  <c r="I10" i="29"/>
  <c r="I186" i="29"/>
  <c r="I190" i="29"/>
  <c r="I153" i="29"/>
  <c r="I55" i="29"/>
  <c r="I34" i="29"/>
  <c r="I146" i="29"/>
  <c r="I177" i="29"/>
  <c r="I114" i="29"/>
  <c r="E30" i="29"/>
  <c r="E80" i="29"/>
  <c r="G183" i="29"/>
  <c r="G152" i="29"/>
  <c r="G95" i="29"/>
  <c r="I183" i="29"/>
  <c r="G197" i="29"/>
  <c r="G204" i="29"/>
  <c r="G116" i="29"/>
  <c r="G13" i="29"/>
  <c r="G53" i="29"/>
  <c r="E183" i="29"/>
  <c r="E95" i="29"/>
  <c r="G91" i="29"/>
  <c r="I91" i="29"/>
  <c r="I80" i="29"/>
  <c r="I168" i="29"/>
  <c r="E204" i="29"/>
  <c r="E34" i="29"/>
  <c r="G165" i="29"/>
  <c r="G14" i="29"/>
  <c r="G81" i="29"/>
  <c r="G45" i="29"/>
  <c r="E91" i="29"/>
  <c r="E165" i="29"/>
  <c r="E102" i="29"/>
  <c r="G164" i="29"/>
  <c r="I95" i="29"/>
  <c r="E69" i="29"/>
  <c r="G34" i="29"/>
  <c r="G82" i="29"/>
  <c r="G5" i="29"/>
  <c r="G19" i="29"/>
  <c r="G205" i="29"/>
  <c r="E10" i="29"/>
  <c r="I72" i="29"/>
  <c r="J138" i="29"/>
  <c r="J182" i="29"/>
  <c r="J132" i="29"/>
  <c r="J163" i="29"/>
  <c r="J4" i="29"/>
  <c r="J150" i="29"/>
  <c r="J148" i="29"/>
  <c r="J145" i="29"/>
  <c r="J97" i="29"/>
  <c r="J135" i="29"/>
  <c r="J79" i="29"/>
  <c r="J7" i="29"/>
  <c r="J118" i="29"/>
  <c r="J86" i="29"/>
  <c r="J54" i="29"/>
  <c r="J6" i="29"/>
  <c r="J186" i="29"/>
  <c r="J181" i="29"/>
  <c r="J149" i="29"/>
  <c r="J29" i="29"/>
  <c r="J158" i="29"/>
  <c r="J108" i="29"/>
  <c r="J92" i="29"/>
  <c r="J76" i="29"/>
  <c r="J162" i="29"/>
  <c r="J134" i="29"/>
  <c r="J51" i="29"/>
  <c r="J35" i="29"/>
  <c r="J147" i="29"/>
  <c r="J58" i="29"/>
  <c r="J42" i="29"/>
  <c r="J18" i="29"/>
  <c r="J170" i="29"/>
  <c r="J206" i="29"/>
  <c r="J174" i="29"/>
  <c r="J139" i="29"/>
  <c r="J9" i="29"/>
  <c r="J112" i="29"/>
  <c r="J96" i="29"/>
  <c r="J72" i="29"/>
  <c r="J8" i="29"/>
  <c r="J130" i="29"/>
  <c r="J185" i="29"/>
  <c r="J169" i="29"/>
  <c r="J121" i="29"/>
  <c r="J105" i="29"/>
  <c r="J175" i="29"/>
  <c r="J159" i="29"/>
  <c r="J143" i="29"/>
  <c r="J127" i="29"/>
  <c r="J103" i="29"/>
  <c r="J63" i="29"/>
  <c r="J47" i="29"/>
  <c r="J31" i="29"/>
  <c r="J191" i="29"/>
  <c r="J126" i="29"/>
  <c r="J70" i="29"/>
  <c r="J38" i="29"/>
  <c r="J152" i="29"/>
  <c r="J189" i="29"/>
  <c r="J157" i="29"/>
  <c r="J117" i="29"/>
  <c r="J101" i="29"/>
  <c r="J85" i="29"/>
  <c r="J69" i="29"/>
  <c r="J13" i="29"/>
  <c r="J171" i="29"/>
  <c r="J116" i="29"/>
  <c r="J68" i="29"/>
  <c r="J52" i="29"/>
  <c r="J36" i="29"/>
  <c r="J12" i="29"/>
  <c r="J140" i="29"/>
  <c r="J115" i="29"/>
  <c r="J75" i="29"/>
  <c r="J59" i="29"/>
  <c r="J196" i="29"/>
  <c r="J106" i="29"/>
  <c r="J90" i="29"/>
  <c r="J81" i="29"/>
  <c r="J65" i="29"/>
  <c r="J49" i="29"/>
  <c r="J33" i="29"/>
  <c r="J17" i="29"/>
  <c r="J64" i="29"/>
  <c r="J48" i="29"/>
  <c r="J32" i="29"/>
  <c r="J176" i="29"/>
  <c r="J156" i="29"/>
  <c r="J188" i="29"/>
  <c r="J137" i="29"/>
  <c r="J89" i="29"/>
  <c r="J111" i="29"/>
  <c r="J87" i="29"/>
  <c r="J15" i="29"/>
  <c r="J94" i="29"/>
  <c r="J78" i="29"/>
  <c r="J62" i="29"/>
  <c r="J46" i="29"/>
  <c r="J22" i="29"/>
  <c r="J154" i="29"/>
  <c r="J197" i="29"/>
  <c r="J165" i="29"/>
  <c r="J37" i="29"/>
  <c r="J21" i="29"/>
  <c r="J100" i="29"/>
  <c r="J84" i="29"/>
  <c r="J20" i="29"/>
  <c r="J192" i="29"/>
  <c r="J99" i="29"/>
  <c r="J43" i="29"/>
  <c r="J27" i="29"/>
  <c r="J198" i="29"/>
  <c r="J50" i="29"/>
  <c r="J10" i="29"/>
  <c r="J200" i="29"/>
  <c r="J187" i="29"/>
  <c r="J155" i="29"/>
  <c r="J61" i="29"/>
  <c r="J120" i="29"/>
  <c r="J104" i="29"/>
  <c r="J88" i="29"/>
  <c r="J16" i="29"/>
  <c r="J178" i="29"/>
  <c r="J144" i="29"/>
  <c r="J45" i="29"/>
  <c r="J193" i="29"/>
  <c r="J177" i="29"/>
  <c r="J161" i="29"/>
  <c r="J129" i="29"/>
  <c r="J113" i="29"/>
  <c r="J199" i="29"/>
  <c r="J167" i="29"/>
  <c r="J151" i="29"/>
  <c r="J71" i="29"/>
  <c r="J55" i="29"/>
  <c r="J39" i="29"/>
  <c r="J142" i="29"/>
  <c r="J184" i="29"/>
  <c r="J205" i="29"/>
  <c r="J173" i="29"/>
  <c r="J141" i="29"/>
  <c r="J125" i="29"/>
  <c r="J109" i="29"/>
  <c r="J93" i="29"/>
  <c r="J77" i="29"/>
  <c r="J203" i="29"/>
  <c r="J131" i="29"/>
  <c r="J60" i="29"/>
  <c r="J44" i="29"/>
  <c r="J28" i="29"/>
  <c r="J194" i="29"/>
  <c r="J160" i="29"/>
  <c r="J107" i="29"/>
  <c r="J83" i="29"/>
  <c r="J67" i="29"/>
  <c r="J11" i="29"/>
  <c r="J179" i="29"/>
  <c r="J122" i="29"/>
  <c r="J98" i="29"/>
  <c r="J26" i="29"/>
  <c r="J202" i="29"/>
  <c r="J66" i="29"/>
  <c r="J204" i="29"/>
  <c r="J172" i="29"/>
  <c r="J73" i="29"/>
  <c r="J57" i="29"/>
  <c r="J41" i="29"/>
  <c r="J25" i="29"/>
  <c r="J128" i="29"/>
  <c r="J56" i="29"/>
  <c r="J40" i="29"/>
  <c r="J24" i="29"/>
  <c r="J146" i="29"/>
  <c r="J136" i="29"/>
  <c r="J110" i="29"/>
  <c r="J133" i="29"/>
  <c r="J119" i="29"/>
  <c r="J19" i="29"/>
  <c r="J5" i="29"/>
  <c r="J14" i="29"/>
  <c r="J195" i="29"/>
  <c r="J53" i="29"/>
  <c r="J190" i="29"/>
  <c r="J201" i="29"/>
  <c r="J180" i="29"/>
  <c r="J82" i="29"/>
  <c r="J114" i="29"/>
  <c r="J124" i="29"/>
  <c r="J34" i="29"/>
  <c r="E74" i="29"/>
  <c r="E152" i="29"/>
  <c r="E93" i="29"/>
  <c r="E187" i="29"/>
  <c r="E155" i="29"/>
  <c r="E114" i="29"/>
  <c r="E200" i="29"/>
  <c r="E163" i="29"/>
  <c r="E160" i="29"/>
  <c r="E201" i="29"/>
  <c r="E169" i="29"/>
  <c r="E145" i="29"/>
  <c r="E105" i="29"/>
  <c r="E199" i="29"/>
  <c r="E151" i="29"/>
  <c r="E127" i="29"/>
  <c r="E103" i="29"/>
  <c r="E63" i="29"/>
  <c r="E55" i="29"/>
  <c r="E7" i="29"/>
  <c r="E191" i="29"/>
  <c r="E206" i="29"/>
  <c r="E182" i="29"/>
  <c r="E142" i="29"/>
  <c r="E126" i="29"/>
  <c r="E110" i="29"/>
  <c r="E78" i="29"/>
  <c r="E62" i="29"/>
  <c r="E157" i="29"/>
  <c r="E125" i="29"/>
  <c r="E29" i="29"/>
  <c r="E21" i="29"/>
  <c r="E141" i="29"/>
  <c r="E84" i="29"/>
  <c r="E60" i="29"/>
  <c r="E28" i="29"/>
  <c r="E4" i="29"/>
  <c r="E131" i="29"/>
  <c r="E107" i="29"/>
  <c r="E35" i="29"/>
  <c r="E11" i="29"/>
  <c r="E194" i="29"/>
  <c r="E138" i="29"/>
  <c r="E90" i="29"/>
  <c r="E57" i="29"/>
  <c r="E33" i="29"/>
  <c r="E9" i="29"/>
  <c r="E136" i="29"/>
  <c r="E104" i="29"/>
  <c r="E40" i="29"/>
  <c r="E195" i="29"/>
  <c r="E172" i="29"/>
  <c r="E193" i="29"/>
  <c r="E161" i="29"/>
  <c r="E137" i="29"/>
  <c r="E129" i="29"/>
  <c r="E175" i="29"/>
  <c r="E119" i="29"/>
  <c r="E87" i="29"/>
  <c r="E47" i="29"/>
  <c r="E197" i="29"/>
  <c r="E181" i="29"/>
  <c r="E117" i="29"/>
  <c r="E45" i="29"/>
  <c r="E132" i="29"/>
  <c r="E76" i="29"/>
  <c r="E52" i="29"/>
  <c r="E20" i="29"/>
  <c r="E148" i="29"/>
  <c r="E139" i="29"/>
  <c r="E99" i="29"/>
  <c r="E67" i="29"/>
  <c r="E27" i="29"/>
  <c r="E171" i="29"/>
  <c r="E178" i="29"/>
  <c r="E162" i="29"/>
  <c r="E122" i="29"/>
  <c r="E66" i="29"/>
  <c r="E58" i="29"/>
  <c r="E42" i="29"/>
  <c r="E188" i="29"/>
  <c r="E81" i="29"/>
  <c r="E25" i="29"/>
  <c r="E96" i="29"/>
  <c r="E64" i="29"/>
  <c r="E32" i="29"/>
  <c r="E196" i="29"/>
  <c r="E164" i="29"/>
  <c r="E82" i="29"/>
  <c r="E176" i="29"/>
  <c r="E185" i="29"/>
  <c r="E121" i="29"/>
  <c r="E97" i="29"/>
  <c r="E167" i="29"/>
  <c r="E159" i="29"/>
  <c r="E143" i="29"/>
  <c r="E79" i="29"/>
  <c r="E39" i="29"/>
  <c r="E198" i="29"/>
  <c r="E174" i="29"/>
  <c r="E118" i="29"/>
  <c r="E94" i="29"/>
  <c r="E70" i="29"/>
  <c r="E6" i="29"/>
  <c r="E149" i="29"/>
  <c r="E109" i="29"/>
  <c r="E85" i="29"/>
  <c r="E53" i="29"/>
  <c r="E37" i="29"/>
  <c r="E140" i="29"/>
  <c r="E116" i="29"/>
  <c r="E100" i="29"/>
  <c r="E44" i="29"/>
  <c r="E12" i="29"/>
  <c r="E83" i="29"/>
  <c r="E59" i="29"/>
  <c r="E51" i="29"/>
  <c r="E202" i="29"/>
  <c r="E186" i="29"/>
  <c r="E106" i="29"/>
  <c r="E50" i="29"/>
  <c r="E26" i="29"/>
  <c r="E147" i="29"/>
  <c r="E73" i="29"/>
  <c r="E49" i="29"/>
  <c r="E41" i="29"/>
  <c r="E128" i="29"/>
  <c r="E120" i="29"/>
  <c r="E88" i="29"/>
  <c r="E56" i="29"/>
  <c r="E24" i="29"/>
  <c r="E16" i="29"/>
  <c r="E130" i="29"/>
  <c r="E192" i="29"/>
  <c r="E184" i="29"/>
  <c r="E144" i="29"/>
  <c r="E177" i="29"/>
  <c r="E153" i="29"/>
  <c r="E113" i="29"/>
  <c r="E89" i="29"/>
  <c r="E135" i="29"/>
  <c r="E111" i="29"/>
  <c r="E71" i="29"/>
  <c r="E31" i="29"/>
  <c r="E15" i="29"/>
  <c r="E150" i="29"/>
  <c r="E134" i="29"/>
  <c r="E86" i="29"/>
  <c r="E46" i="29"/>
  <c r="E38" i="29"/>
  <c r="E22" i="29"/>
  <c r="E189" i="29"/>
  <c r="E173" i="29"/>
  <c r="E101" i="29"/>
  <c r="E77" i="29"/>
  <c r="E61" i="29"/>
  <c r="E13" i="29"/>
  <c r="E92" i="29"/>
  <c r="E68" i="29"/>
  <c r="E36" i="29"/>
  <c r="E115" i="29"/>
  <c r="E43" i="29"/>
  <c r="E19" i="29"/>
  <c r="E203" i="29"/>
  <c r="E170" i="29"/>
  <c r="E154" i="29"/>
  <c r="E98" i="29"/>
  <c r="E18" i="29"/>
  <c r="E156" i="29"/>
  <c r="E179" i="29"/>
  <c r="E65" i="29"/>
  <c r="E17" i="29"/>
  <c r="E112" i="29"/>
  <c r="E72" i="29"/>
  <c r="E48" i="29"/>
  <c r="E8" i="29"/>
  <c r="E133" i="29"/>
  <c r="E124" i="29"/>
  <c r="E108" i="29"/>
  <c r="E180" i="29"/>
  <c r="E54" i="29"/>
  <c r="E158" i="29"/>
  <c r="E190" i="29"/>
  <c r="E14" i="29"/>
  <c r="E146" i="29"/>
  <c r="E205" i="29"/>
  <c r="E23" i="29"/>
  <c r="F164" i="29"/>
  <c r="F136" i="29"/>
  <c r="F170" i="29"/>
  <c r="F202" i="29"/>
  <c r="F144" i="29"/>
  <c r="F85" i="29"/>
  <c r="F172" i="29"/>
  <c r="F157" i="29"/>
  <c r="F201" i="29"/>
  <c r="F193" i="29"/>
  <c r="F121" i="29"/>
  <c r="F97" i="29"/>
  <c r="F47" i="29"/>
  <c r="F15" i="29"/>
  <c r="F7" i="29"/>
  <c r="F86" i="29"/>
  <c r="F78" i="29"/>
  <c r="F62" i="29"/>
  <c r="F38" i="29"/>
  <c r="F176" i="29"/>
  <c r="F141" i="29"/>
  <c r="F101" i="29"/>
  <c r="F69" i="29"/>
  <c r="F37" i="29"/>
  <c r="F29" i="29"/>
  <c r="F21" i="29"/>
  <c r="F197" i="29"/>
  <c r="F184" i="29"/>
  <c r="F203" i="29"/>
  <c r="F187" i="29"/>
  <c r="F171" i="29"/>
  <c r="F139" i="29"/>
  <c r="F115" i="29"/>
  <c r="F107" i="29"/>
  <c r="F99" i="29"/>
  <c r="F83" i="29"/>
  <c r="F35" i="29"/>
  <c r="F156" i="29"/>
  <c r="F122" i="29"/>
  <c r="F114" i="29"/>
  <c r="F58" i="29"/>
  <c r="F134" i="29"/>
  <c r="F17" i="29"/>
  <c r="F9" i="29"/>
  <c r="F64" i="29"/>
  <c r="F56" i="29"/>
  <c r="F40" i="29"/>
  <c r="F24" i="29"/>
  <c r="F181" i="29"/>
  <c r="F32" i="29"/>
  <c r="F189" i="29"/>
  <c r="F138" i="29"/>
  <c r="F186" i="29"/>
  <c r="F177" i="29"/>
  <c r="F169" i="29"/>
  <c r="F161" i="29"/>
  <c r="F89" i="29"/>
  <c r="F135" i="29"/>
  <c r="F127" i="29"/>
  <c r="F119" i="29"/>
  <c r="F55" i="29"/>
  <c r="F39" i="29"/>
  <c r="F31" i="29"/>
  <c r="F118" i="29"/>
  <c r="F110" i="29"/>
  <c r="F70" i="29"/>
  <c r="F46" i="29"/>
  <c r="F6" i="29"/>
  <c r="F93" i="29"/>
  <c r="F61" i="29"/>
  <c r="F108" i="29"/>
  <c r="F100" i="29"/>
  <c r="F92" i="29"/>
  <c r="F84" i="29"/>
  <c r="F76" i="29"/>
  <c r="F52" i="29"/>
  <c r="F150" i="29"/>
  <c r="F155" i="29"/>
  <c r="F75" i="29"/>
  <c r="F59" i="29"/>
  <c r="F43" i="29"/>
  <c r="F27" i="29"/>
  <c r="F188" i="29"/>
  <c r="F130" i="29"/>
  <c r="F66" i="29"/>
  <c r="F26" i="29"/>
  <c r="F173" i="29"/>
  <c r="F140" i="29"/>
  <c r="F194" i="29"/>
  <c r="F49" i="29"/>
  <c r="F41" i="29"/>
  <c r="F33" i="29"/>
  <c r="F25" i="29"/>
  <c r="F120" i="29"/>
  <c r="F112" i="29"/>
  <c r="F104" i="29"/>
  <c r="F96" i="29"/>
  <c r="F88" i="29"/>
  <c r="F72" i="29"/>
  <c r="F8" i="29"/>
  <c r="F128" i="29"/>
  <c r="F146" i="29"/>
  <c r="F199" i="29"/>
  <c r="F175" i="29"/>
  <c r="F167" i="29"/>
  <c r="F159" i="29"/>
  <c r="F151" i="29"/>
  <c r="F143" i="29"/>
  <c r="F111" i="29"/>
  <c r="F103" i="29"/>
  <c r="F87" i="29"/>
  <c r="F79" i="29"/>
  <c r="F71" i="29"/>
  <c r="F63" i="29"/>
  <c r="F191" i="29"/>
  <c r="F125" i="29"/>
  <c r="F77" i="29"/>
  <c r="F124" i="29"/>
  <c r="F60" i="29"/>
  <c r="F44" i="29"/>
  <c r="F36" i="29"/>
  <c r="F28" i="29"/>
  <c r="F20" i="29"/>
  <c r="F165" i="29"/>
  <c r="F152" i="29"/>
  <c r="F195" i="29"/>
  <c r="F179" i="29"/>
  <c r="F131" i="29"/>
  <c r="F4" i="29"/>
  <c r="F126" i="29"/>
  <c r="F42" i="29"/>
  <c r="F18" i="29"/>
  <c r="F196" i="29"/>
  <c r="F81" i="29"/>
  <c r="F73" i="29"/>
  <c r="F65" i="29"/>
  <c r="F57" i="29"/>
  <c r="F198" i="29"/>
  <c r="F48" i="29"/>
  <c r="F148" i="29"/>
  <c r="F154" i="29"/>
  <c r="F145" i="29"/>
  <c r="F129" i="29"/>
  <c r="F113" i="29"/>
  <c r="F105" i="29"/>
  <c r="F185" i="29"/>
  <c r="F54" i="29"/>
  <c r="F22" i="29"/>
  <c r="F206" i="29"/>
  <c r="F174" i="29"/>
  <c r="F53" i="29"/>
  <c r="F13" i="29"/>
  <c r="F132" i="29"/>
  <c r="F116" i="29"/>
  <c r="F12" i="29"/>
  <c r="F182" i="29"/>
  <c r="F147" i="29"/>
  <c r="F67" i="29"/>
  <c r="F11" i="29"/>
  <c r="F106" i="29"/>
  <c r="F98" i="29"/>
  <c r="F90" i="29"/>
  <c r="F50" i="29"/>
  <c r="F10" i="29"/>
  <c r="F190" i="29"/>
  <c r="F160" i="29"/>
  <c r="F162" i="29"/>
  <c r="F200" i="29"/>
  <c r="F149" i="29"/>
  <c r="F117" i="29"/>
  <c r="F16" i="29"/>
  <c r="F68" i="29"/>
  <c r="F109" i="29"/>
  <c r="F192" i="29"/>
  <c r="F158" i="29"/>
  <c r="F163" i="29"/>
  <c r="F34" i="29"/>
  <c r="F178" i="29"/>
  <c r="F74" i="29"/>
  <c r="F14" i="29"/>
  <c r="F51" i="29"/>
  <c r="F204" i="29"/>
  <c r="F94" i="29"/>
  <c r="F5" i="29"/>
  <c r="F19" i="29"/>
  <c r="F133" i="29"/>
  <c r="F205" i="29"/>
  <c r="F82" i="29"/>
  <c r="F180" i="29"/>
  <c r="F45" i="29"/>
  <c r="F142" i="29"/>
  <c r="F137" i="29"/>
  <c r="F23" i="29"/>
  <c r="F153" i="29"/>
  <c r="H174" i="29"/>
  <c r="H206" i="29"/>
  <c r="H4" i="29"/>
  <c r="H74" i="29"/>
  <c r="H185" i="29"/>
  <c r="H145" i="29"/>
  <c r="H137" i="29"/>
  <c r="H129" i="29"/>
  <c r="H113" i="29"/>
  <c r="H199" i="29"/>
  <c r="H167" i="29"/>
  <c r="H151" i="29"/>
  <c r="H143" i="29"/>
  <c r="H119" i="29"/>
  <c r="H111" i="29"/>
  <c r="H87" i="29"/>
  <c r="H71" i="29"/>
  <c r="H55" i="29"/>
  <c r="H15" i="29"/>
  <c r="H70" i="29"/>
  <c r="H46" i="29"/>
  <c r="H22" i="29"/>
  <c r="H109" i="29"/>
  <c r="H85" i="29"/>
  <c r="H29" i="29"/>
  <c r="H188" i="29"/>
  <c r="H172" i="29"/>
  <c r="H140" i="29"/>
  <c r="H132" i="29"/>
  <c r="H84" i="29"/>
  <c r="H52" i="29"/>
  <c r="H28" i="29"/>
  <c r="H205" i="29"/>
  <c r="H154" i="29"/>
  <c r="H139" i="29"/>
  <c r="H131" i="29"/>
  <c r="H75" i="29"/>
  <c r="H27" i="29"/>
  <c r="H90" i="29"/>
  <c r="H66" i="29"/>
  <c r="H42" i="29"/>
  <c r="H10" i="29"/>
  <c r="H194" i="29"/>
  <c r="H142" i="29"/>
  <c r="H73" i="29"/>
  <c r="H33" i="29"/>
  <c r="H200" i="29"/>
  <c r="H184" i="29"/>
  <c r="H16" i="29"/>
  <c r="H57" i="29"/>
  <c r="H106" i="29"/>
  <c r="H171" i="29"/>
  <c r="H169" i="29"/>
  <c r="H97" i="29"/>
  <c r="H193" i="29"/>
  <c r="H63" i="29"/>
  <c r="H94" i="29"/>
  <c r="H54" i="29"/>
  <c r="H178" i="29"/>
  <c r="H117" i="29"/>
  <c r="H93" i="29"/>
  <c r="H61" i="29"/>
  <c r="H53" i="29"/>
  <c r="H21" i="29"/>
  <c r="H150" i="29"/>
  <c r="H156" i="29"/>
  <c r="H108" i="29"/>
  <c r="H92" i="29"/>
  <c r="H60" i="29"/>
  <c r="H44" i="29"/>
  <c r="H67" i="29"/>
  <c r="H59" i="29"/>
  <c r="H19" i="29"/>
  <c r="H134" i="29"/>
  <c r="H18" i="29"/>
  <c r="H181" i="29"/>
  <c r="H65" i="29"/>
  <c r="H49" i="29"/>
  <c r="H41" i="29"/>
  <c r="H17" i="29"/>
  <c r="H144" i="29"/>
  <c r="H136" i="29"/>
  <c r="H128" i="29"/>
  <c r="H112" i="29"/>
  <c r="H96" i="29"/>
  <c r="H72" i="29"/>
  <c r="H56" i="29"/>
  <c r="H48" i="29"/>
  <c r="H202" i="29"/>
  <c r="H189" i="29"/>
  <c r="H141" i="29"/>
  <c r="H191" i="29"/>
  <c r="H201" i="29"/>
  <c r="H177" i="29"/>
  <c r="H121" i="29"/>
  <c r="H105" i="29"/>
  <c r="H175" i="29"/>
  <c r="H159" i="29"/>
  <c r="H103" i="29"/>
  <c r="H79" i="29"/>
  <c r="H7" i="29"/>
  <c r="H126" i="29"/>
  <c r="H118" i="29"/>
  <c r="H38" i="29"/>
  <c r="H163" i="29"/>
  <c r="H13" i="29"/>
  <c r="H182" i="29"/>
  <c r="H196" i="29"/>
  <c r="H180" i="29"/>
  <c r="H164" i="29"/>
  <c r="H116" i="29"/>
  <c r="H36" i="29"/>
  <c r="H20" i="29"/>
  <c r="H115" i="29"/>
  <c r="H83" i="29"/>
  <c r="H51" i="29"/>
  <c r="H11" i="29"/>
  <c r="H158" i="29"/>
  <c r="H122" i="29"/>
  <c r="H98" i="29"/>
  <c r="H58" i="29"/>
  <c r="H50" i="29"/>
  <c r="H26" i="29"/>
  <c r="H162" i="29"/>
  <c r="H147" i="29"/>
  <c r="H130" i="29"/>
  <c r="H81" i="29"/>
  <c r="H25" i="29"/>
  <c r="H192" i="29"/>
  <c r="H176" i="29"/>
  <c r="H40" i="29"/>
  <c r="H24" i="29"/>
  <c r="H8" i="29"/>
  <c r="H170" i="29"/>
  <c r="H157" i="29"/>
  <c r="H197" i="29"/>
  <c r="H203" i="29"/>
  <c r="H89" i="29"/>
  <c r="H135" i="29"/>
  <c r="H127" i="29"/>
  <c r="H47" i="29"/>
  <c r="H39" i="29"/>
  <c r="H31" i="29"/>
  <c r="H110" i="29"/>
  <c r="H86" i="29"/>
  <c r="H78" i="29"/>
  <c r="H62" i="29"/>
  <c r="H6" i="29"/>
  <c r="H125" i="29"/>
  <c r="H101" i="29"/>
  <c r="H77" i="29"/>
  <c r="H69" i="29"/>
  <c r="H45" i="29"/>
  <c r="H37" i="29"/>
  <c r="H5" i="29"/>
  <c r="H138" i="29"/>
  <c r="H148" i="29"/>
  <c r="H100" i="29"/>
  <c r="H68" i="29"/>
  <c r="H99" i="29"/>
  <c r="H43" i="29"/>
  <c r="H35" i="29"/>
  <c r="H149" i="29"/>
  <c r="H198" i="29"/>
  <c r="H12" i="29"/>
  <c r="H152" i="29"/>
  <c r="H120" i="29"/>
  <c r="H104" i="29"/>
  <c r="H88" i="29"/>
  <c r="H32" i="29"/>
  <c r="H155" i="29"/>
  <c r="H64" i="29"/>
  <c r="H187" i="29"/>
  <c r="H124" i="29"/>
  <c r="H204" i="29"/>
  <c r="H107" i="29"/>
  <c r="H82" i="29"/>
  <c r="H160" i="29"/>
  <c r="H114" i="29"/>
  <c r="H195" i="29"/>
  <c r="H9" i="29"/>
  <c r="H161" i="29"/>
  <c r="H186" i="29"/>
  <c r="H190" i="29"/>
  <c r="H133" i="29"/>
  <c r="H14" i="29"/>
  <c r="H146" i="29"/>
  <c r="H173" i="29"/>
  <c r="H34" i="29"/>
  <c r="H30" i="29"/>
  <c r="H102" i="29"/>
  <c r="H166" i="29"/>
  <c r="H179" i="29"/>
  <c r="H183" i="29"/>
  <c r="H165" i="29"/>
  <c r="H80" i="29"/>
  <c r="H91" i="29"/>
  <c r="H123" i="29"/>
  <c r="H168" i="29"/>
  <c r="D201" i="29"/>
  <c r="D161" i="29"/>
  <c r="D137" i="29"/>
  <c r="D113" i="29"/>
  <c r="D199" i="29"/>
  <c r="D151" i="29"/>
  <c r="D119" i="29"/>
  <c r="D103" i="29"/>
  <c r="D63" i="29"/>
  <c r="D39" i="29"/>
  <c r="D15" i="29"/>
  <c r="D190" i="29"/>
  <c r="D174" i="29"/>
  <c r="D158" i="29"/>
  <c r="D142" i="29"/>
  <c r="D118" i="29"/>
  <c r="D94" i="29"/>
  <c r="D189" i="29"/>
  <c r="D149" i="29"/>
  <c r="D93" i="29"/>
  <c r="D77" i="29"/>
  <c r="D61" i="29"/>
  <c r="D29" i="29"/>
  <c r="D180" i="29"/>
  <c r="D148" i="29"/>
  <c r="D132" i="29"/>
  <c r="D92" i="29"/>
  <c r="D76" i="29"/>
  <c r="D12" i="29"/>
  <c r="D155" i="29"/>
  <c r="D147" i="29"/>
  <c r="D139" i="29"/>
  <c r="D75" i="29"/>
  <c r="D59" i="29"/>
  <c r="D51" i="29"/>
  <c r="D35" i="29"/>
  <c r="D11" i="29"/>
  <c r="D122" i="29"/>
  <c r="D106" i="29"/>
  <c r="D74" i="29"/>
  <c r="D66" i="29"/>
  <c r="D26" i="29"/>
  <c r="D49" i="29"/>
  <c r="D25" i="29"/>
  <c r="D17" i="29"/>
  <c r="D200" i="29"/>
  <c r="D160" i="29"/>
  <c r="D144" i="29"/>
  <c r="D128" i="29"/>
  <c r="D112" i="29"/>
  <c r="D56" i="29"/>
  <c r="D32" i="29"/>
  <c r="D16" i="29"/>
  <c r="D71" i="29"/>
  <c r="D198" i="29"/>
  <c r="D78" i="29"/>
  <c r="D6" i="29"/>
  <c r="D117" i="29"/>
  <c r="D4" i="29"/>
  <c r="D140" i="29"/>
  <c r="D60" i="29"/>
  <c r="D195" i="29"/>
  <c r="D171" i="29"/>
  <c r="D107" i="29"/>
  <c r="D170" i="29"/>
  <c r="D42" i="29"/>
  <c r="D33" i="29"/>
  <c r="D88" i="29"/>
  <c r="D193" i="29"/>
  <c r="D177" i="29"/>
  <c r="D105" i="29"/>
  <c r="D89" i="29"/>
  <c r="D175" i="29"/>
  <c r="D143" i="29"/>
  <c r="D87" i="29"/>
  <c r="D55" i="29"/>
  <c r="D31" i="29"/>
  <c r="D7" i="29"/>
  <c r="D134" i="29"/>
  <c r="D126" i="29"/>
  <c r="D110" i="29"/>
  <c r="D70" i="29"/>
  <c r="D46" i="29"/>
  <c r="D205" i="29"/>
  <c r="D181" i="29"/>
  <c r="D141" i="29"/>
  <c r="D109" i="29"/>
  <c r="D21" i="29"/>
  <c r="D172" i="29"/>
  <c r="D116" i="29"/>
  <c r="D108" i="29"/>
  <c r="D44" i="29"/>
  <c r="D36" i="29"/>
  <c r="D28" i="29"/>
  <c r="D99" i="29"/>
  <c r="D27" i="29"/>
  <c r="D202" i="29"/>
  <c r="D10" i="29"/>
  <c r="D73" i="29"/>
  <c r="D9" i="29"/>
  <c r="D192" i="29"/>
  <c r="D136" i="29"/>
  <c r="D104" i="29"/>
  <c r="D48" i="29"/>
  <c r="D24" i="29"/>
  <c r="D8" i="29"/>
  <c r="D185" i="29"/>
  <c r="D145" i="29"/>
  <c r="D127" i="29"/>
  <c r="D47" i="29"/>
  <c r="D182" i="29"/>
  <c r="D54" i="29"/>
  <c r="D197" i="29"/>
  <c r="D101" i="29"/>
  <c r="D188" i="29"/>
  <c r="D68" i="29"/>
  <c r="D203" i="29"/>
  <c r="D179" i="29"/>
  <c r="D131" i="29"/>
  <c r="D43" i="29"/>
  <c r="D90" i="29"/>
  <c r="D57" i="29"/>
  <c r="D120" i="29"/>
  <c r="D156" i="29"/>
  <c r="D153" i="29"/>
  <c r="D129" i="29"/>
  <c r="D167" i="29"/>
  <c r="D135" i="29"/>
  <c r="D79" i="29"/>
  <c r="D86" i="29"/>
  <c r="D62" i="29"/>
  <c r="D38" i="29"/>
  <c r="D125" i="29"/>
  <c r="D85" i="29"/>
  <c r="D53" i="29"/>
  <c r="D13" i="29"/>
  <c r="D196" i="29"/>
  <c r="D164" i="29"/>
  <c r="D124" i="29"/>
  <c r="D84" i="29"/>
  <c r="D115" i="29"/>
  <c r="D67" i="29"/>
  <c r="D194" i="29"/>
  <c r="D178" i="29"/>
  <c r="D154" i="29"/>
  <c r="D138" i="29"/>
  <c r="D98" i="29"/>
  <c r="D58" i="29"/>
  <c r="D50" i="29"/>
  <c r="D18" i="29"/>
  <c r="D65" i="29"/>
  <c r="D184" i="29"/>
  <c r="D96" i="29"/>
  <c r="D40" i="29"/>
  <c r="D169" i="29"/>
  <c r="D121" i="29"/>
  <c r="D159" i="29"/>
  <c r="D111" i="29"/>
  <c r="D191" i="29"/>
  <c r="D150" i="29"/>
  <c r="D22" i="29"/>
  <c r="D157" i="29"/>
  <c r="D37" i="29"/>
  <c r="D100" i="29"/>
  <c r="D20" i="29"/>
  <c r="D187" i="29"/>
  <c r="D163" i="29"/>
  <c r="D83" i="29"/>
  <c r="D130" i="29"/>
  <c r="D81" i="29"/>
  <c r="D176" i="29"/>
  <c r="D64" i="29"/>
  <c r="D186" i="29"/>
  <c r="D45" i="29"/>
  <c r="D19" i="29"/>
  <c r="D162" i="29"/>
  <c r="D69" i="29"/>
  <c r="D152" i="29"/>
  <c r="D82" i="29"/>
  <c r="D52" i="29"/>
  <c r="D34" i="29"/>
  <c r="D14" i="29"/>
  <c r="D206" i="29"/>
  <c r="D146" i="29"/>
  <c r="D133" i="29"/>
  <c r="D173" i="29"/>
  <c r="D97" i="29"/>
  <c r="D91" i="29"/>
  <c r="D165" i="29"/>
  <c r="D72" i="29"/>
  <c r="D95" i="29"/>
  <c r="D168" i="29"/>
  <c r="D5" i="29"/>
  <c r="D102" i="29"/>
  <c r="D183" i="29"/>
  <c r="D80" i="29"/>
  <c r="D114" i="29"/>
  <c r="D41" i="29"/>
  <c r="D30" i="29"/>
  <c r="D166" i="29"/>
  <c r="D204" i="29"/>
  <c r="G80" i="29"/>
  <c r="J123" i="29"/>
  <c r="G123" i="29"/>
  <c r="E168" i="29"/>
  <c r="G186" i="29"/>
  <c r="J23" i="29"/>
  <c r="I123" i="29"/>
  <c r="I23" i="29"/>
  <c r="H23" i="29"/>
  <c r="G102" i="29"/>
  <c r="G168" i="29"/>
  <c r="G23" i="29"/>
  <c r="E123" i="29"/>
  <c r="E5" i="29"/>
  <c r="D23" i="29"/>
  <c r="D123" i="29"/>
  <c r="K54" i="7"/>
  <c r="L54" i="7"/>
  <c r="M54" i="7"/>
  <c r="N54" i="7"/>
  <c r="K16" i="9"/>
  <c r="M16" i="9"/>
  <c r="L16" i="9"/>
  <c r="N16" i="9"/>
  <c r="L28" i="7"/>
  <c r="N28" i="7"/>
  <c r="M28" i="7"/>
  <c r="K28" i="7"/>
  <c r="K16" i="3"/>
  <c r="L16" i="3"/>
  <c r="N16" i="3"/>
  <c r="M16" i="3"/>
  <c r="N66" i="6"/>
  <c r="M66" i="6"/>
  <c r="L66" i="6"/>
  <c r="K65" i="6"/>
  <c r="N65" i="6"/>
  <c r="M65" i="6"/>
  <c r="L65" i="6"/>
  <c r="N55" i="7"/>
  <c r="M55" i="7"/>
  <c r="L55" i="7"/>
  <c r="K55" i="7"/>
  <c r="K18" i="8"/>
  <c r="N18" i="8"/>
  <c r="M18" i="8"/>
  <c r="L18" i="8"/>
  <c r="N17" i="8"/>
  <c r="K17" i="8"/>
  <c r="L17" i="8"/>
  <c r="M17" i="8"/>
  <c r="H36" i="8"/>
  <c r="J36" i="8" s="1"/>
  <c r="I36" i="8" s="1"/>
  <c r="H35" i="7"/>
  <c r="J35" i="7" s="1"/>
  <c r="I35" i="7" s="1"/>
  <c r="H49" i="4"/>
  <c r="J49" i="4" s="1"/>
  <c r="I49" i="4" s="1"/>
  <c r="H30" i="7"/>
  <c r="J30" i="7" s="1"/>
  <c r="I30" i="7" s="1"/>
  <c r="H56" i="5"/>
  <c r="J56" i="5" s="1"/>
  <c r="I56" i="5" s="1"/>
  <c r="H55" i="4"/>
  <c r="J55" i="4" s="1"/>
  <c r="I55" i="4" s="1"/>
  <c r="H38" i="3"/>
  <c r="J38" i="3" s="1"/>
  <c r="I38" i="3" s="1"/>
  <c r="H55" i="5"/>
  <c r="J55" i="5" s="1"/>
  <c r="I55" i="5" s="1"/>
  <c r="H16" i="5"/>
  <c r="J16" i="5" s="1"/>
  <c r="I16" i="5" s="1"/>
  <c r="H60" i="6"/>
  <c r="J60" i="6" s="1"/>
  <c r="I60" i="6" s="1"/>
  <c r="H15" i="5"/>
  <c r="J15" i="5" s="1"/>
  <c r="I15" i="5" s="1"/>
  <c r="H49" i="7"/>
  <c r="J49" i="7" s="1"/>
  <c r="I49" i="7" s="1"/>
  <c r="N16" i="5"/>
  <c r="L31" i="7"/>
  <c r="M31" i="7"/>
  <c r="K31" i="7"/>
  <c r="N31" i="7"/>
  <c r="L35" i="7"/>
  <c r="N35" i="7"/>
  <c r="K35" i="7"/>
  <c r="M35" i="7"/>
  <c r="M56" i="3"/>
  <c r="L56" i="3"/>
  <c r="N56" i="3"/>
  <c r="K56" i="3"/>
  <c r="K33" i="3"/>
  <c r="N33" i="3"/>
  <c r="L33" i="3"/>
  <c r="M33" i="3"/>
  <c r="K57" i="3"/>
  <c r="L57" i="3"/>
  <c r="N57" i="3"/>
  <c r="M57" i="3"/>
  <c r="L37" i="7"/>
  <c r="K37" i="7"/>
  <c r="N37" i="7"/>
  <c r="M37" i="7"/>
  <c r="K55" i="3"/>
  <c r="M55" i="3"/>
  <c r="L55" i="3"/>
  <c r="N55" i="3"/>
  <c r="N56" i="4"/>
  <c r="L38" i="7"/>
  <c r="M38" i="7"/>
  <c r="K38" i="7"/>
  <c r="N38" i="7"/>
  <c r="L33" i="8"/>
  <c r="M33" i="8"/>
  <c r="N33" i="8"/>
  <c r="K33" i="8"/>
  <c r="N36" i="8"/>
  <c r="L36" i="8"/>
  <c r="K36" i="8"/>
  <c r="M36" i="8"/>
  <c r="L38" i="3"/>
  <c r="N38" i="3"/>
  <c r="M38" i="3"/>
  <c r="K38" i="3"/>
  <c r="L30" i="3"/>
  <c r="M30" i="3"/>
  <c r="K30" i="3"/>
  <c r="N30" i="3"/>
  <c r="M32" i="7"/>
  <c r="L32" i="7"/>
  <c r="N32" i="7"/>
  <c r="K32" i="7"/>
  <c r="L32" i="8"/>
  <c r="N32" i="8"/>
  <c r="M32" i="8"/>
  <c r="K32" i="8"/>
  <c r="K58" i="6"/>
  <c r="M15" i="5"/>
  <c r="K16" i="5"/>
  <c r="H58" i="6"/>
  <c r="J58" i="6" s="1"/>
  <c r="I58" i="6" s="1"/>
  <c r="H56" i="4"/>
  <c r="J56" i="4" s="1"/>
  <c r="I56" i="4" s="1"/>
  <c r="H52" i="8"/>
  <c r="J52" i="8" s="1"/>
  <c r="I52" i="8" s="1"/>
  <c r="H42" i="4"/>
  <c r="J42" i="4" s="1"/>
  <c r="I42" i="4" s="1"/>
  <c r="H46" i="8"/>
  <c r="J46" i="8" s="1"/>
  <c r="I46" i="8" s="1"/>
  <c r="H50" i="4"/>
  <c r="J50" i="4" s="1"/>
  <c r="I50" i="4" s="1"/>
  <c r="H29" i="3"/>
  <c r="J29" i="3" s="1"/>
  <c r="I29" i="3" s="1"/>
  <c r="H62" i="6"/>
  <c r="J62" i="6" s="1"/>
  <c r="I62" i="6" s="1"/>
  <c r="N50" i="4"/>
  <c r="M50" i="4"/>
  <c r="H48" i="7"/>
  <c r="J48" i="7" s="1"/>
  <c r="I48" i="7" s="1"/>
  <c r="N58" i="6"/>
  <c r="K59" i="6"/>
  <c r="L59" i="6"/>
  <c r="M59" i="6"/>
  <c r="L55" i="4"/>
  <c r="K55" i="4"/>
  <c r="N55" i="4"/>
  <c r="M55" i="4"/>
  <c r="K55" i="5"/>
  <c r="N55" i="5"/>
  <c r="M55" i="5"/>
  <c r="L55" i="5"/>
  <c r="K30" i="7"/>
  <c r="L30" i="7"/>
  <c r="N30" i="7"/>
  <c r="M30" i="7"/>
  <c r="L56" i="5"/>
  <c r="L15" i="5"/>
  <c r="M57" i="6"/>
  <c r="L57" i="6"/>
  <c r="K57" i="6"/>
  <c r="N57" i="6"/>
  <c r="N15" i="5"/>
  <c r="L60" i="6"/>
  <c r="K60" i="6"/>
  <c r="M60" i="6"/>
  <c r="N60" i="6"/>
  <c r="K50" i="4"/>
  <c r="K49" i="4"/>
  <c r="M56" i="4"/>
  <c r="N49" i="4"/>
  <c r="M49" i="4"/>
  <c r="N56" i="5"/>
  <c r="L16" i="5"/>
  <c r="K56" i="4"/>
  <c r="M56" i="5"/>
  <c r="M58" i="6"/>
  <c r="L69" i="11"/>
  <c r="H28" i="4"/>
  <c r="J28" i="4" s="1"/>
  <c r="I28" i="4" s="1"/>
  <c r="H37" i="8"/>
  <c r="J37" i="8" s="1"/>
  <c r="I37" i="8" s="1"/>
  <c r="H49" i="8"/>
  <c r="J49" i="8" s="1"/>
  <c r="I49" i="8" s="1"/>
  <c r="H39" i="3"/>
  <c r="J39" i="3" s="1"/>
  <c r="I39" i="3" s="1"/>
  <c r="H50" i="8"/>
  <c r="J50" i="8" s="1"/>
  <c r="I50" i="8" s="1"/>
  <c r="H45" i="4"/>
  <c r="J45" i="4" s="1"/>
  <c r="I45" i="4" s="1"/>
  <c r="H26" i="5"/>
  <c r="J26" i="5" s="1"/>
  <c r="I26" i="5" s="1"/>
  <c r="H38" i="8"/>
  <c r="J38" i="8" s="1"/>
  <c r="I38" i="8" s="1"/>
  <c r="M17" i="4"/>
  <c r="M28" i="4"/>
  <c r="K49" i="7"/>
  <c r="M49" i="7"/>
  <c r="L49" i="7"/>
  <c r="N49" i="7"/>
  <c r="L46" i="8"/>
  <c r="K46" i="8"/>
  <c r="N46" i="8"/>
  <c r="M46" i="8"/>
  <c r="M50" i="7"/>
  <c r="L50" i="7"/>
  <c r="N50" i="7"/>
  <c r="K50" i="7"/>
  <c r="K48" i="7"/>
  <c r="M48" i="7"/>
  <c r="N48" i="7"/>
  <c r="L48" i="7"/>
  <c r="N53" i="8"/>
  <c r="L53" i="8"/>
  <c r="M53" i="8"/>
  <c r="K53" i="8"/>
  <c r="M50" i="8"/>
  <c r="L50" i="8"/>
  <c r="N50" i="8"/>
  <c r="K50" i="8"/>
  <c r="L49" i="8"/>
  <c r="K49" i="8"/>
  <c r="M49" i="8"/>
  <c r="N49" i="8"/>
  <c r="M26" i="5"/>
  <c r="N26" i="5"/>
  <c r="L26" i="5"/>
  <c r="K26" i="5"/>
  <c r="L52" i="8"/>
  <c r="K52" i="8"/>
  <c r="N52" i="8"/>
  <c r="M52" i="8"/>
  <c r="N17" i="4"/>
  <c r="L28" i="4"/>
  <c r="N28" i="4"/>
  <c r="M37" i="8"/>
  <c r="M62" i="6"/>
  <c r="H27" i="4"/>
  <c r="J27" i="4" s="1"/>
  <c r="I27" i="4" s="1"/>
  <c r="H18" i="4"/>
  <c r="J18" i="4" s="1"/>
  <c r="I18" i="4" s="1"/>
  <c r="H17" i="4"/>
  <c r="J17" i="4" s="1"/>
  <c r="I17" i="4" s="1"/>
  <c r="H39" i="9"/>
  <c r="J39" i="9" s="1"/>
  <c r="I39" i="9" s="1"/>
  <c r="H31" i="8"/>
  <c r="J31" i="8" s="1"/>
  <c r="I31" i="8" s="1"/>
  <c r="H17" i="6"/>
  <c r="J17" i="6" s="1"/>
  <c r="I17" i="6" s="1"/>
  <c r="H48" i="4"/>
  <c r="J48" i="4" s="1"/>
  <c r="I48" i="4" s="1"/>
  <c r="H27" i="7"/>
  <c r="J27" i="7" s="1"/>
  <c r="I27" i="7" s="1"/>
  <c r="H23" i="3"/>
  <c r="J23" i="3" s="1"/>
  <c r="I23" i="3" s="1"/>
  <c r="H27" i="9"/>
  <c r="J27" i="9" s="1"/>
  <c r="I27" i="9" s="1"/>
  <c r="K17" i="4"/>
  <c r="K38" i="8"/>
  <c r="L29" i="3"/>
  <c r="M29" i="3"/>
  <c r="N29" i="3"/>
  <c r="K29" i="3"/>
  <c r="N18" i="4"/>
  <c r="L18" i="4"/>
  <c r="M18" i="4"/>
  <c r="M38" i="8"/>
  <c r="N38" i="8"/>
  <c r="N39" i="3"/>
  <c r="L37" i="8"/>
  <c r="N31" i="8"/>
  <c r="K62" i="6"/>
  <c r="N62" i="6"/>
  <c r="K37" i="8"/>
  <c r="M39" i="3"/>
  <c r="N27" i="4"/>
  <c r="M31" i="8"/>
  <c r="L28" i="3"/>
  <c r="N28" i="3"/>
  <c r="K28" i="3"/>
  <c r="M28" i="3"/>
  <c r="K39" i="3"/>
  <c r="K31" i="8"/>
  <c r="L27" i="4"/>
  <c r="M27" i="4"/>
  <c r="G20" i="5"/>
  <c r="M20" i="5" s="1"/>
  <c r="H47" i="4"/>
  <c r="J47" i="4" s="1"/>
  <c r="I47" i="4" s="1"/>
  <c r="H29" i="9"/>
  <c r="J29" i="9" s="1"/>
  <c r="I29" i="9" s="1"/>
  <c r="H38" i="9"/>
  <c r="J38" i="9" s="1"/>
  <c r="I38" i="9" s="1"/>
  <c r="H48" i="5"/>
  <c r="J48" i="5" s="1"/>
  <c r="I48" i="5" s="1"/>
  <c r="H30" i="8"/>
  <c r="J30" i="8" s="1"/>
  <c r="I30" i="8" s="1"/>
  <c r="H26" i="9"/>
  <c r="J26" i="9" s="1"/>
  <c r="I26" i="9" s="1"/>
  <c r="H28" i="9"/>
  <c r="J28" i="9" s="1"/>
  <c r="I28" i="9" s="1"/>
  <c r="M39" i="9"/>
  <c r="L28" i="9"/>
  <c r="M28" i="9"/>
  <c r="N28" i="9"/>
  <c r="K28" i="9"/>
  <c r="L48" i="5"/>
  <c r="M48" i="5"/>
  <c r="K48" i="5"/>
  <c r="N48" i="5"/>
  <c r="M23" i="3"/>
  <c r="N23" i="3"/>
  <c r="K23" i="3"/>
  <c r="L23" i="3"/>
  <c r="M47" i="4"/>
  <c r="N47" i="4"/>
  <c r="L47" i="4"/>
  <c r="K47" i="4"/>
  <c r="L26" i="9"/>
  <c r="M26" i="9"/>
  <c r="K26" i="9"/>
  <c r="N26" i="9"/>
  <c r="K42" i="4"/>
  <c r="M42" i="4"/>
  <c r="N42" i="4"/>
  <c r="L42" i="4"/>
  <c r="K29" i="9"/>
  <c r="L29" i="9"/>
  <c r="N29" i="9"/>
  <c r="M29" i="9"/>
  <c r="L27" i="7"/>
  <c r="M27" i="7"/>
  <c r="K27" i="7"/>
  <c r="N27" i="7"/>
  <c r="K39" i="9"/>
  <c r="K45" i="4"/>
  <c r="L45" i="4"/>
  <c r="N45" i="4"/>
  <c r="M45" i="4"/>
  <c r="L48" i="4"/>
  <c r="M48" i="4"/>
  <c r="N48" i="4"/>
  <c r="K48" i="4"/>
  <c r="L46" i="4"/>
  <c r="N46" i="4"/>
  <c r="M46" i="4"/>
  <c r="K46" i="4"/>
  <c r="L27" i="9"/>
  <c r="N27" i="9"/>
  <c r="K27" i="9"/>
  <c r="M27" i="9"/>
  <c r="L39" i="9"/>
  <c r="H58" i="5"/>
  <c r="J58" i="5" s="1"/>
  <c r="I58" i="5" s="1"/>
  <c r="H25" i="5"/>
  <c r="J25" i="5" s="1"/>
  <c r="I25" i="5" s="1"/>
  <c r="H54" i="5"/>
  <c r="J54" i="5" s="1"/>
  <c r="I54" i="5" s="1"/>
  <c r="H27" i="8"/>
  <c r="J27" i="8" s="1"/>
  <c r="I27" i="8" s="1"/>
  <c r="K17" i="6"/>
  <c r="N17" i="6"/>
  <c r="M17" i="6"/>
  <c r="L17" i="6"/>
  <c r="M30" i="8"/>
  <c r="L30" i="8"/>
  <c r="K30" i="8"/>
  <c r="N30" i="8"/>
  <c r="M25" i="5"/>
  <c r="N25" i="5"/>
  <c r="K25" i="5"/>
  <c r="L25" i="5"/>
  <c r="L97" i="11"/>
  <c r="H24" i="7"/>
  <c r="J24" i="7" s="1"/>
  <c r="I24" i="7" s="1"/>
  <c r="H64" i="6"/>
  <c r="J64" i="6" s="1"/>
  <c r="I64" i="6" s="1"/>
  <c r="L152" i="11"/>
  <c r="L73" i="11"/>
  <c r="N54" i="5"/>
  <c r="M54" i="5"/>
  <c r="K54" i="5"/>
  <c r="N27" i="8"/>
  <c r="L27" i="8"/>
  <c r="K27" i="8"/>
  <c r="M38" i="9"/>
  <c r="K38" i="9"/>
  <c r="L38" i="9"/>
  <c r="N58" i="5"/>
  <c r="M58" i="5"/>
  <c r="L16" i="4"/>
  <c r="K58" i="5"/>
  <c r="K57" i="5"/>
  <c r="M16" i="4"/>
  <c r="N57" i="5"/>
  <c r="M57" i="5"/>
  <c r="K16" i="4"/>
  <c r="H24" i="9"/>
  <c r="J24" i="9" s="1"/>
  <c r="I24" i="9" s="1"/>
  <c r="H44" i="3"/>
  <c r="J44" i="3" s="1"/>
  <c r="I44" i="3" s="1"/>
  <c r="H25" i="7"/>
  <c r="J25" i="7" s="1"/>
  <c r="I25" i="7" s="1"/>
  <c r="H26" i="8"/>
  <c r="J26" i="8" s="1"/>
  <c r="I26" i="8" s="1"/>
  <c r="H16" i="8"/>
  <c r="J16" i="8" s="1"/>
  <c r="I16" i="8" s="1"/>
  <c r="H35" i="9"/>
  <c r="J35" i="9" s="1"/>
  <c r="I35" i="9" s="1"/>
  <c r="H22" i="7"/>
  <c r="J22" i="7" s="1"/>
  <c r="I22" i="7" s="1"/>
  <c r="H47" i="3"/>
  <c r="J47" i="3" s="1"/>
  <c r="I47" i="3" s="1"/>
  <c r="L22" i="7"/>
  <c r="K22" i="7"/>
  <c r="M22" i="7"/>
  <c r="N22" i="7"/>
  <c r="K25" i="7"/>
  <c r="M25" i="7"/>
  <c r="L25" i="7"/>
  <c r="N25" i="7"/>
  <c r="L23" i="7"/>
  <c r="M23" i="7"/>
  <c r="K23" i="7"/>
  <c r="N23" i="7"/>
  <c r="L24" i="7"/>
  <c r="M24" i="7"/>
  <c r="N24" i="7"/>
  <c r="K24" i="7"/>
  <c r="N16" i="8"/>
  <c r="M16" i="8"/>
  <c r="L16" i="8"/>
  <c r="K16" i="8"/>
  <c r="L25" i="8"/>
  <c r="N25" i="8"/>
  <c r="K25" i="8"/>
  <c r="M25" i="8"/>
  <c r="K26" i="8"/>
  <c r="N26" i="8"/>
  <c r="L26" i="8"/>
  <c r="M26" i="8"/>
  <c r="M48" i="3"/>
  <c r="H48" i="3"/>
  <c r="J48" i="3" s="1"/>
  <c r="I48" i="3" s="1"/>
  <c r="H40" i="9"/>
  <c r="J40" i="9" s="1"/>
  <c r="I40" i="9" s="1"/>
  <c r="H48" i="8"/>
  <c r="J48" i="8" s="1"/>
  <c r="I48" i="8" s="1"/>
  <c r="H23" i="9"/>
  <c r="J23" i="9" s="1"/>
  <c r="I23" i="9" s="1"/>
  <c r="H22" i="9"/>
  <c r="J22" i="9" s="1"/>
  <c r="I22" i="9" s="1"/>
  <c r="H55" i="6"/>
  <c r="J55" i="6" s="1"/>
  <c r="I55" i="6" s="1"/>
  <c r="H54" i="3"/>
  <c r="J54" i="3" s="1"/>
  <c r="I54" i="3" s="1"/>
  <c r="H66" i="4"/>
  <c r="H46" i="3"/>
  <c r="J46" i="3" s="1"/>
  <c r="I46" i="3" s="1"/>
  <c r="H53" i="5"/>
  <c r="J53" i="5" s="1"/>
  <c r="I53" i="5" s="1"/>
  <c r="L44" i="3"/>
  <c r="M44" i="3"/>
  <c r="N44" i="3"/>
  <c r="L48" i="3"/>
  <c r="N48" i="3"/>
  <c r="K35" i="9"/>
  <c r="M35" i="9"/>
  <c r="L35" i="9"/>
  <c r="N35" i="9"/>
  <c r="K22" i="9"/>
  <c r="L22" i="9"/>
  <c r="N22" i="9"/>
  <c r="M22" i="9"/>
  <c r="L24" i="9"/>
  <c r="M24" i="9"/>
  <c r="K24" i="9"/>
  <c r="N24" i="9"/>
  <c r="M23" i="9"/>
  <c r="L23" i="9"/>
  <c r="K23" i="9"/>
  <c r="N23" i="9"/>
  <c r="K46" i="3"/>
  <c r="M47" i="3"/>
  <c r="N47" i="3"/>
  <c r="M46" i="3"/>
  <c r="K40" i="9"/>
  <c r="M40" i="9"/>
  <c r="L40" i="9"/>
  <c r="N40" i="9"/>
  <c r="M64" i="6"/>
  <c r="N64" i="6"/>
  <c r="L64" i="6"/>
  <c r="L46" i="3"/>
  <c r="K47" i="3"/>
  <c r="L2" i="11"/>
  <c r="H65" i="7"/>
  <c r="H67" i="3"/>
  <c r="J67" i="3" s="1"/>
  <c r="I67" i="3" s="1"/>
  <c r="H76" i="6"/>
  <c r="J76" i="6" s="1"/>
  <c r="I76" i="6" s="1"/>
  <c r="H58" i="9"/>
  <c r="J58" i="9" s="1"/>
  <c r="I58" i="9" s="1"/>
  <c r="H47" i="5"/>
  <c r="J47" i="5" s="1"/>
  <c r="I47" i="5" s="1"/>
  <c r="H56" i="8"/>
  <c r="J56" i="8" s="1"/>
  <c r="I56" i="8" s="1"/>
  <c r="H45" i="8"/>
  <c r="J45" i="8" s="1"/>
  <c r="I45" i="8" s="1"/>
  <c r="L47" i="5"/>
  <c r="K47" i="5"/>
  <c r="M47" i="5"/>
  <c r="N47" i="5"/>
  <c r="H19" i="4"/>
  <c r="H67" i="6"/>
  <c r="J67" i="6" s="1"/>
  <c r="I67" i="6" s="1"/>
  <c r="H43" i="6"/>
  <c r="H43" i="4"/>
  <c r="J43" i="4" s="1"/>
  <c r="I43" i="4" s="1"/>
  <c r="H34" i="6"/>
  <c r="H42" i="6"/>
  <c r="H38" i="6"/>
  <c r="J38" i="6" s="1"/>
  <c r="I38" i="6" s="1"/>
  <c r="H29" i="4"/>
  <c r="H48" i="6"/>
  <c r="H26" i="3"/>
  <c r="J26" i="3" s="1"/>
  <c r="I26" i="3" s="1"/>
  <c r="H59" i="5"/>
  <c r="H30" i="5"/>
  <c r="J30" i="5" s="1"/>
  <c r="I30" i="5" s="1"/>
  <c r="H56" i="7"/>
  <c r="J56" i="7" s="1"/>
  <c r="I56" i="7" s="1"/>
  <c r="H47" i="6"/>
  <c r="H39" i="7"/>
  <c r="J39" i="7" s="1"/>
  <c r="I39" i="7" s="1"/>
  <c r="H43" i="7"/>
  <c r="H54" i="6"/>
  <c r="H41" i="5"/>
  <c r="J41" i="5" s="1"/>
  <c r="I41" i="5" s="1"/>
  <c r="H41" i="4"/>
  <c r="J41" i="4" s="1"/>
  <c r="I41" i="4" s="1"/>
  <c r="H43" i="3"/>
  <c r="J43" i="3" s="1"/>
  <c r="I43" i="3" s="1"/>
  <c r="H21" i="7"/>
  <c r="H23" i="4"/>
  <c r="H21" i="9"/>
  <c r="J21" i="9" s="1"/>
  <c r="I21" i="9" s="1"/>
  <c r="H23" i="8"/>
  <c r="H24" i="5"/>
  <c r="H34" i="9"/>
  <c r="J34" i="9" s="1"/>
  <c r="I34" i="9" s="1"/>
  <c r="H17" i="9"/>
  <c r="J17" i="9" s="1"/>
  <c r="I17" i="9" s="1"/>
  <c r="H43" i="8"/>
  <c r="H21" i="6"/>
  <c r="H21" i="3"/>
  <c r="K54" i="3"/>
  <c r="L54" i="3"/>
  <c r="N54" i="3"/>
  <c r="M54" i="3"/>
  <c r="V9" i="6"/>
  <c r="N29" i="5"/>
  <c r="M29" i="5"/>
  <c r="N27" i="5"/>
  <c r="M27" i="5"/>
  <c r="K27" i="5"/>
  <c r="L29" i="5"/>
  <c r="M29" i="8"/>
  <c r="L48" i="8"/>
  <c r="K48" i="8"/>
  <c r="M48" i="8"/>
  <c r="N48" i="8"/>
  <c r="L47" i="8"/>
  <c r="M47" i="8"/>
  <c r="K47" i="8"/>
  <c r="N47" i="8"/>
  <c r="K28" i="5"/>
  <c r="M28" i="5"/>
  <c r="L28" i="5"/>
  <c r="L29" i="8"/>
  <c r="N29" i="8"/>
  <c r="M44" i="4"/>
  <c r="H37" i="4"/>
  <c r="N44" i="4"/>
  <c r="L44" i="4"/>
  <c r="N24" i="3"/>
  <c r="K24" i="3"/>
  <c r="M24" i="3"/>
  <c r="M22" i="3"/>
  <c r="L22" i="3"/>
  <c r="K22" i="3"/>
  <c r="N22" i="3"/>
  <c r="H36" i="9"/>
  <c r="J36" i="9" s="1"/>
  <c r="I36" i="9" s="1"/>
  <c r="N36" i="5"/>
  <c r="K36" i="5"/>
  <c r="M36" i="5"/>
  <c r="L36" i="5"/>
  <c r="M25" i="3"/>
  <c r="N25" i="3"/>
  <c r="K25" i="3"/>
  <c r="L25" i="3"/>
  <c r="M37" i="9"/>
  <c r="N37" i="9"/>
  <c r="L37" i="9"/>
  <c r="K37" i="9"/>
  <c r="N43" i="4"/>
  <c r="K43" i="4"/>
  <c r="M43" i="4"/>
  <c r="L43" i="4"/>
  <c r="L36" i="9"/>
  <c r="K36" i="9"/>
  <c r="M36" i="9"/>
  <c r="N36" i="9"/>
  <c r="K33" i="5"/>
  <c r="L33" i="5"/>
  <c r="N33" i="5"/>
  <c r="M33" i="5"/>
  <c r="K45" i="8"/>
  <c r="L45" i="8"/>
  <c r="N45" i="8"/>
  <c r="M45" i="8"/>
  <c r="M56" i="8"/>
  <c r="K56" i="8"/>
  <c r="L56" i="8"/>
  <c r="N56" i="8"/>
  <c r="N25" i="9"/>
  <c r="M25" i="9"/>
  <c r="K25" i="9"/>
  <c r="L25" i="9"/>
  <c r="K31" i="5"/>
  <c r="M31" i="5"/>
  <c r="L31" i="5"/>
  <c r="N31" i="5"/>
  <c r="N32" i="5"/>
  <c r="K32" i="5"/>
  <c r="L32" i="5"/>
  <c r="M32" i="5"/>
  <c r="N26" i="3"/>
  <c r="L26" i="3"/>
  <c r="K26" i="3"/>
  <c r="L4" i="11"/>
  <c r="H34" i="4"/>
  <c r="J34" i="4" s="1"/>
  <c r="I34" i="4" s="1"/>
  <c r="H33" i="4"/>
  <c r="J33" i="4" s="1"/>
  <c r="I33" i="4" s="1"/>
  <c r="H58" i="3"/>
  <c r="J58" i="3" s="1"/>
  <c r="I58" i="3" s="1"/>
  <c r="H29" i="7"/>
  <c r="J29" i="7" s="1"/>
  <c r="I29" i="7" s="1"/>
  <c r="G24" i="6"/>
  <c r="L24" i="6" s="1"/>
  <c r="M29" i="7"/>
  <c r="K29" i="7"/>
  <c r="L29" i="7"/>
  <c r="N29" i="7"/>
  <c r="M30" i="5"/>
  <c r="K30" i="5"/>
  <c r="N30" i="5"/>
  <c r="L30" i="5"/>
  <c r="K53" i="5"/>
  <c r="M53" i="5"/>
  <c r="L53" i="5"/>
  <c r="N53" i="5"/>
  <c r="K33" i="4"/>
  <c r="N33" i="4"/>
  <c r="M33" i="4"/>
  <c r="L33" i="4"/>
  <c r="M34" i="4"/>
  <c r="N34" i="4"/>
  <c r="L34" i="4"/>
  <c r="K34" i="4"/>
  <c r="E21" i="3"/>
  <c r="G15" i="3"/>
  <c r="L15" i="3" s="1"/>
  <c r="H46" i="6"/>
  <c r="J46" i="6" s="1"/>
  <c r="I46" i="6" s="1"/>
  <c r="L199" i="11"/>
  <c r="L3" i="11"/>
  <c r="E15" i="4"/>
  <c r="E21" i="7"/>
  <c r="H53" i="3"/>
  <c r="J53" i="3" s="1"/>
  <c r="I53" i="3" s="1"/>
  <c r="L52" i="5"/>
  <c r="M52" i="5"/>
  <c r="K52" i="5"/>
  <c r="N52" i="5"/>
  <c r="H52" i="5"/>
  <c r="M28" i="8"/>
  <c r="K28" i="8"/>
  <c r="N28" i="8"/>
  <c r="L28" i="8"/>
  <c r="G49" i="5"/>
  <c r="M49" i="5" s="1"/>
  <c r="H24" i="4"/>
  <c r="J24" i="4" s="1"/>
  <c r="I24" i="4" s="1"/>
  <c r="G15" i="6"/>
  <c r="N15" i="6" s="1"/>
  <c r="E41" i="6"/>
  <c r="J33" i="6"/>
  <c r="I33" i="6" s="1"/>
  <c r="H27" i="6"/>
  <c r="G40" i="6"/>
  <c r="L40" i="6" s="1"/>
  <c r="E23" i="6"/>
  <c r="G36" i="4"/>
  <c r="K36" i="4" s="1"/>
  <c r="G22" i="6"/>
  <c r="N22" i="6" s="1"/>
  <c r="H30" i="9"/>
  <c r="J30" i="9" s="1"/>
  <c r="I30" i="9" s="1"/>
  <c r="H64" i="8"/>
  <c r="J64" i="8" s="1"/>
  <c r="I64" i="8" s="1"/>
  <c r="H75" i="6"/>
  <c r="H49" i="3"/>
  <c r="J49" i="3" s="1"/>
  <c r="I49" i="3" s="1"/>
  <c r="H65" i="4"/>
  <c r="J65" i="4" s="1"/>
  <c r="I65" i="4" s="1"/>
  <c r="H17" i="3"/>
  <c r="J17" i="3" s="1"/>
  <c r="I17" i="3" s="1"/>
  <c r="H57" i="9"/>
  <c r="J57" i="9" s="1"/>
  <c r="I57" i="9" s="1"/>
  <c r="H66" i="3"/>
  <c r="J66" i="3" s="1"/>
  <c r="I66" i="3" s="1"/>
  <c r="H67" i="5"/>
  <c r="J67" i="5" s="1"/>
  <c r="I67" i="5" s="1"/>
  <c r="H64" i="7"/>
  <c r="J64" i="7" s="1"/>
  <c r="I64" i="7" s="1"/>
  <c r="L42" i="6"/>
  <c r="L108" i="11"/>
  <c r="L109" i="11"/>
  <c r="L134" i="11"/>
  <c r="E49" i="6"/>
  <c r="E43" i="6"/>
  <c r="G37" i="6"/>
  <c r="N37" i="6" s="1"/>
  <c r="E45" i="6"/>
  <c r="E35" i="6"/>
  <c r="E47" i="6"/>
  <c r="E39" i="6"/>
  <c r="H37" i="6"/>
  <c r="J37" i="6" s="1"/>
  <c r="I37" i="6" s="1"/>
  <c r="N56" i="6"/>
  <c r="L56" i="6"/>
  <c r="M56" i="6"/>
  <c r="K56" i="6"/>
  <c r="G21" i="9"/>
  <c r="M21" i="9" s="1"/>
  <c r="L20" i="6"/>
  <c r="E29" i="6"/>
  <c r="E51" i="5"/>
  <c r="E37" i="4"/>
  <c r="E68" i="5"/>
  <c r="H25" i="6"/>
  <c r="J25" i="6" s="1"/>
  <c r="I25" i="6" s="1"/>
  <c r="V9" i="7"/>
  <c r="G49" i="3"/>
  <c r="L49" i="3" s="1"/>
  <c r="V9" i="5"/>
  <c r="G40" i="5"/>
  <c r="N40" i="5" s="1"/>
  <c r="G53" i="3"/>
  <c r="L53" i="3" s="1"/>
  <c r="G15" i="9"/>
  <c r="M15" i="9" s="1"/>
  <c r="E65" i="7"/>
  <c r="E27" i="6"/>
  <c r="E36" i="6"/>
  <c r="G25" i="6"/>
  <c r="L25" i="6" s="1"/>
  <c r="E31" i="6"/>
  <c r="J31" i="6" s="1"/>
  <c r="I31" i="6" s="1"/>
  <c r="E12" i="4"/>
  <c r="E37" i="5"/>
  <c r="G46" i="6"/>
  <c r="L46" i="6" s="1"/>
  <c r="G64" i="8"/>
  <c r="M64" i="8" s="1"/>
  <c r="K20" i="6"/>
  <c r="M20" i="6"/>
  <c r="E65" i="8"/>
  <c r="E42" i="6"/>
  <c r="K49" i="6"/>
  <c r="L56" i="9"/>
  <c r="E56" i="9"/>
  <c r="E14" i="9"/>
  <c r="G34" i="9"/>
  <c r="K34" i="9" s="1"/>
  <c r="G57" i="9"/>
  <c r="M57" i="9" s="1"/>
  <c r="G66" i="8"/>
  <c r="N66" i="8" s="1"/>
  <c r="E39" i="8"/>
  <c r="G15" i="8"/>
  <c r="K15" i="8" s="1"/>
  <c r="G64" i="7"/>
  <c r="L64" i="7" s="1"/>
  <c r="G32" i="4"/>
  <c r="K32" i="4" s="1"/>
  <c r="E57" i="4"/>
  <c r="M15" i="4"/>
  <c r="E22" i="4"/>
  <c r="G39" i="7"/>
  <c r="L39" i="7" s="1"/>
  <c r="G66" i="3"/>
  <c r="N66" i="3" s="1"/>
  <c r="G64" i="3"/>
  <c r="K64" i="3" s="1"/>
  <c r="G43" i="3"/>
  <c r="K43" i="3" s="1"/>
  <c r="E14" i="7"/>
  <c r="L15" i="4"/>
  <c r="G67" i="3"/>
  <c r="N67" i="3" s="1"/>
  <c r="E54" i="6"/>
  <c r="E20" i="6"/>
  <c r="E74" i="6"/>
  <c r="G14" i="6"/>
  <c r="M14" i="6" s="1"/>
  <c r="V8" i="7"/>
  <c r="G17" i="9"/>
  <c r="K17" i="9" s="1"/>
  <c r="G56" i="7"/>
  <c r="K56" i="7" s="1"/>
  <c r="G59" i="5"/>
  <c r="K59" i="5" s="1"/>
  <c r="E59" i="5"/>
  <c r="G30" i="9"/>
  <c r="K30" i="9" s="1"/>
  <c r="G14" i="5"/>
  <c r="N14" i="5" s="1"/>
  <c r="E24" i="5"/>
  <c r="L31" i="4"/>
  <c r="E23" i="4"/>
  <c r="L12" i="4"/>
  <c r="N42" i="6"/>
  <c r="M56" i="9"/>
  <c r="N49" i="6"/>
  <c r="K42" i="6"/>
  <c r="K12" i="4"/>
  <c r="N56" i="9"/>
  <c r="L49" i="6"/>
  <c r="L14" i="9"/>
  <c r="K14" i="9"/>
  <c r="G12" i="9"/>
  <c r="M12" i="9" s="1"/>
  <c r="V9" i="9"/>
  <c r="V10" i="9" s="1"/>
  <c r="D9" i="20" s="1"/>
  <c r="L37" i="4"/>
  <c r="N37" i="4"/>
  <c r="H39" i="6"/>
  <c r="M13" i="9"/>
  <c r="G42" i="7"/>
  <c r="M42" i="7" s="1"/>
  <c r="G43" i="8"/>
  <c r="N43" i="8" s="1"/>
  <c r="E63" i="8"/>
  <c r="G19" i="8"/>
  <c r="N19" i="8" s="1"/>
  <c r="J19" i="8"/>
  <c r="I19" i="8" s="1"/>
  <c r="M65" i="8"/>
  <c r="K65" i="8"/>
  <c r="L65" i="8"/>
  <c r="N65" i="8"/>
  <c r="M47" i="6"/>
  <c r="J50" i="6"/>
  <c r="I50" i="6" s="1"/>
  <c r="V8" i="5"/>
  <c r="V9" i="4"/>
  <c r="N31" i="4"/>
  <c r="E19" i="4"/>
  <c r="G30" i="4"/>
  <c r="L30" i="4" s="1"/>
  <c r="V8" i="4"/>
  <c r="G17" i="3"/>
  <c r="L17" i="3" s="1"/>
  <c r="K21" i="3"/>
  <c r="V9" i="8"/>
  <c r="V10" i="8" s="1"/>
  <c r="D8" i="20" s="1"/>
  <c r="M27" i="3"/>
  <c r="N47" i="6"/>
  <c r="G30" i="6"/>
  <c r="L30" i="6" s="1"/>
  <c r="E28" i="6"/>
  <c r="G13" i="6"/>
  <c r="L13" i="6" s="1"/>
  <c r="N21" i="6"/>
  <c r="L47" i="6"/>
  <c r="E21" i="6"/>
  <c r="G32" i="6"/>
  <c r="K32" i="6" s="1"/>
  <c r="V8" i="6"/>
  <c r="G13" i="5"/>
  <c r="N13" i="5" s="1"/>
  <c r="K25" i="4"/>
  <c r="E25" i="4"/>
  <c r="N59" i="9"/>
  <c r="E59" i="9"/>
  <c r="G58" i="9"/>
  <c r="M58" i="9" s="1"/>
  <c r="G55" i="9"/>
  <c r="M55" i="9" s="1"/>
  <c r="K59" i="9"/>
  <c r="M59" i="9"/>
  <c r="E55" i="9"/>
  <c r="E33" i="9"/>
  <c r="G49" i="9"/>
  <c r="M49" i="9" s="1"/>
  <c r="D20" i="20"/>
  <c r="E13" i="9"/>
  <c r="K13" i="9"/>
  <c r="G62" i="8"/>
  <c r="N62" i="8" s="1"/>
  <c r="L63" i="8"/>
  <c r="E42" i="8"/>
  <c r="G42" i="8"/>
  <c r="M42" i="8" s="1"/>
  <c r="M23" i="8"/>
  <c r="N39" i="8"/>
  <c r="E23" i="8"/>
  <c r="E22" i="8"/>
  <c r="L13" i="8"/>
  <c r="E13" i="8"/>
  <c r="E12" i="8"/>
  <c r="E66" i="7"/>
  <c r="G62" i="7"/>
  <c r="K62" i="7" s="1"/>
  <c r="E63" i="7"/>
  <c r="E62" i="7"/>
  <c r="G66" i="7"/>
  <c r="L66" i="7" s="1"/>
  <c r="L43" i="7"/>
  <c r="N43" i="7"/>
  <c r="K43" i="7"/>
  <c r="E43" i="7"/>
  <c r="M21" i="7"/>
  <c r="K21" i="7"/>
  <c r="E20" i="7"/>
  <c r="L21" i="7"/>
  <c r="G17" i="7"/>
  <c r="N17" i="7" s="1"/>
  <c r="G13" i="7"/>
  <c r="L13" i="7" s="1"/>
  <c r="E12" i="7"/>
  <c r="G12" i="7"/>
  <c r="N12" i="7" s="1"/>
  <c r="L14" i="7"/>
  <c r="L73" i="6"/>
  <c r="K73" i="6"/>
  <c r="M77" i="6"/>
  <c r="E75" i="6"/>
  <c r="E77" i="6"/>
  <c r="L77" i="6"/>
  <c r="E73" i="6"/>
  <c r="G55" i="6"/>
  <c r="M55" i="6" s="1"/>
  <c r="G53" i="6"/>
  <c r="L53" i="6" s="1"/>
  <c r="E53" i="6"/>
  <c r="K27" i="6"/>
  <c r="N27" i="6"/>
  <c r="L27" i="6"/>
  <c r="M27" i="6"/>
  <c r="E44" i="6"/>
  <c r="K21" i="6"/>
  <c r="M21" i="6"/>
  <c r="E34" i="6"/>
  <c r="G38" i="6"/>
  <c r="N38" i="6" s="1"/>
  <c r="E26" i="6"/>
  <c r="K44" i="6"/>
  <c r="E48" i="6"/>
  <c r="L12" i="6"/>
  <c r="E12" i="6"/>
  <c r="G66" i="5"/>
  <c r="N66" i="5" s="1"/>
  <c r="G65" i="5"/>
  <c r="L65" i="5" s="1"/>
  <c r="G67" i="5"/>
  <c r="G41" i="5"/>
  <c r="L41" i="5" s="1"/>
  <c r="E23" i="5"/>
  <c r="K63" i="4"/>
  <c r="G65" i="4"/>
  <c r="L65" i="4" s="1"/>
  <c r="E63" i="4"/>
  <c r="E66" i="4"/>
  <c r="M63" i="4"/>
  <c r="G40" i="4"/>
  <c r="M40" i="4" s="1"/>
  <c r="K23" i="4"/>
  <c r="L23" i="4"/>
  <c r="M37" i="4"/>
  <c r="N23" i="4"/>
  <c r="M31" i="4"/>
  <c r="E31" i="4"/>
  <c r="L19" i="4"/>
  <c r="N19" i="4"/>
  <c r="K19" i="4"/>
  <c r="M19" i="4"/>
  <c r="M14" i="4"/>
  <c r="N14" i="4"/>
  <c r="G68" i="3"/>
  <c r="K68" i="3" s="1"/>
  <c r="E68" i="3"/>
  <c r="M20" i="3"/>
  <c r="K20" i="3"/>
  <c r="L21" i="3"/>
  <c r="E27" i="3"/>
  <c r="M21" i="3"/>
  <c r="G13" i="3"/>
  <c r="K13" i="3" s="1"/>
  <c r="L207" i="11"/>
  <c r="L198" i="11"/>
  <c r="L190" i="11"/>
  <c r="L182" i="11"/>
  <c r="L174" i="11"/>
  <c r="L166" i="11"/>
  <c r="L158" i="11"/>
  <c r="L148" i="11"/>
  <c r="L139" i="11"/>
  <c r="L130" i="11"/>
  <c r="L122" i="11"/>
  <c r="L113" i="11"/>
  <c r="L103" i="11"/>
  <c r="L94" i="11"/>
  <c r="L86" i="11"/>
  <c r="L78" i="11"/>
  <c r="L61" i="11"/>
  <c r="L44" i="11"/>
  <c r="L36" i="11"/>
  <c r="L28" i="11"/>
  <c r="L20" i="11"/>
  <c r="L12" i="11"/>
  <c r="L150" i="11"/>
  <c r="L114" i="11"/>
  <c r="L62" i="11"/>
  <c r="L5" i="11"/>
  <c r="L206" i="11"/>
  <c r="L197" i="11"/>
  <c r="L189" i="11"/>
  <c r="L181" i="11"/>
  <c r="L173" i="11"/>
  <c r="L165" i="11"/>
  <c r="L157" i="11"/>
  <c r="L147" i="11"/>
  <c r="L138" i="11"/>
  <c r="L129" i="11"/>
  <c r="L121" i="11"/>
  <c r="L112" i="11"/>
  <c r="L102" i="11"/>
  <c r="L93" i="11"/>
  <c r="L85" i="11"/>
  <c r="L77" i="11"/>
  <c r="L68" i="11"/>
  <c r="L60" i="11"/>
  <c r="L43" i="11"/>
  <c r="L35" i="11"/>
  <c r="L27" i="11"/>
  <c r="L19" i="11"/>
  <c r="L11" i="11"/>
  <c r="L159" i="11"/>
  <c r="L131" i="11"/>
  <c r="L79" i="11"/>
  <c r="L13" i="11"/>
  <c r="L205" i="11"/>
  <c r="L196" i="11"/>
  <c r="L188" i="11"/>
  <c r="L180" i="11"/>
  <c r="L172" i="11"/>
  <c r="L164" i="11"/>
  <c r="L156" i="11"/>
  <c r="L146" i="11"/>
  <c r="L137" i="11"/>
  <c r="L128" i="11"/>
  <c r="L120" i="11"/>
  <c r="L111" i="11"/>
  <c r="L101" i="11"/>
  <c r="L92" i="11"/>
  <c r="L84" i="11"/>
  <c r="L76" i="11"/>
  <c r="L67" i="11"/>
  <c r="L59" i="11"/>
  <c r="L50" i="11"/>
  <c r="L42" i="11"/>
  <c r="L34" i="11"/>
  <c r="L26" i="11"/>
  <c r="L18" i="11"/>
  <c r="L10" i="11"/>
  <c r="L167" i="11"/>
  <c r="L123" i="11"/>
  <c r="L204" i="11"/>
  <c r="L195" i="11"/>
  <c r="L187" i="11"/>
  <c r="L179" i="11"/>
  <c r="L171" i="11"/>
  <c r="L163" i="11"/>
  <c r="L155" i="11"/>
  <c r="L144" i="11"/>
  <c r="L136" i="11"/>
  <c r="L127" i="11"/>
  <c r="L118" i="11"/>
  <c r="L110" i="11"/>
  <c r="L100" i="11"/>
  <c r="L91" i="11"/>
  <c r="L83" i="11"/>
  <c r="L75" i="11"/>
  <c r="L66" i="11"/>
  <c r="L58" i="11"/>
  <c r="L49" i="11"/>
  <c r="L41" i="11"/>
  <c r="L33" i="11"/>
  <c r="L25" i="11"/>
  <c r="L17" i="11"/>
  <c r="L9" i="11"/>
  <c r="L183" i="11"/>
  <c r="L140" i="11"/>
  <c r="L70" i="11"/>
  <c r="L21" i="11"/>
  <c r="L203" i="11"/>
  <c r="L194" i="11"/>
  <c r="L186" i="11"/>
  <c r="L178" i="11"/>
  <c r="L170" i="11"/>
  <c r="L162" i="11"/>
  <c r="L154" i="11"/>
  <c r="L143" i="11"/>
  <c r="L135" i="11"/>
  <c r="L126" i="11"/>
  <c r="L117" i="11"/>
  <c r="L107" i="11"/>
  <c r="L99" i="11"/>
  <c r="L90" i="11"/>
  <c r="L82" i="11"/>
  <c r="L74" i="11"/>
  <c r="L65" i="11"/>
  <c r="L57" i="11"/>
  <c r="L48" i="11"/>
  <c r="L40" i="11"/>
  <c r="L32" i="11"/>
  <c r="L24" i="11"/>
  <c r="L16" i="11"/>
  <c r="L8" i="11"/>
  <c r="L175" i="11"/>
  <c r="L87" i="11"/>
  <c r="L45" i="11"/>
  <c r="L202" i="11"/>
  <c r="L193" i="11"/>
  <c r="L185" i="11"/>
  <c r="L177" i="11"/>
  <c r="L169" i="11"/>
  <c r="L161" i="11"/>
  <c r="L153" i="11"/>
  <c r="L142" i="11"/>
  <c r="L133" i="11"/>
  <c r="L125" i="11"/>
  <c r="L116" i="11"/>
  <c r="L106" i="11"/>
  <c r="L98" i="11"/>
  <c r="L89" i="11"/>
  <c r="L81" i="11"/>
  <c r="L72" i="11"/>
  <c r="L64" i="11"/>
  <c r="L56" i="11"/>
  <c r="L47" i="11"/>
  <c r="L39" i="11"/>
  <c r="L31" i="11"/>
  <c r="L23" i="11"/>
  <c r="L15" i="11"/>
  <c r="L7" i="11"/>
  <c r="L191" i="11"/>
  <c r="L95" i="11"/>
  <c r="L37" i="11"/>
  <c r="L201" i="11"/>
  <c r="L192" i="11"/>
  <c r="L184" i="11"/>
  <c r="L176" i="11"/>
  <c r="L168" i="11"/>
  <c r="L160" i="11"/>
  <c r="L151" i="11"/>
  <c r="L141" i="11"/>
  <c r="L132" i="11"/>
  <c r="L124" i="11"/>
  <c r="L115" i="11"/>
  <c r="L105" i="11"/>
  <c r="L96" i="11"/>
  <c r="L88" i="11"/>
  <c r="L80" i="11"/>
  <c r="L71" i="11"/>
  <c r="L63" i="11"/>
  <c r="L46" i="11"/>
  <c r="L38" i="11"/>
  <c r="L30" i="11"/>
  <c r="L22" i="11"/>
  <c r="L14" i="11"/>
  <c r="L6" i="11"/>
  <c r="L200" i="11"/>
  <c r="L104" i="11"/>
  <c r="L29" i="11"/>
  <c r="L22" i="4"/>
  <c r="K22" i="4"/>
  <c r="N22" i="4"/>
  <c r="M22" i="4"/>
  <c r="M20" i="7"/>
  <c r="N20" i="7"/>
  <c r="E29" i="4"/>
  <c r="G29" i="4"/>
  <c r="M29" i="4" s="1"/>
  <c r="E64" i="4"/>
  <c r="L64" i="4"/>
  <c r="E69" i="5"/>
  <c r="G69" i="5"/>
  <c r="K14" i="4"/>
  <c r="K64" i="4"/>
  <c r="M39" i="8"/>
  <c r="N20" i="3"/>
  <c r="G41" i="4"/>
  <c r="N41" i="4" s="1"/>
  <c r="N15" i="4"/>
  <c r="M25" i="4"/>
  <c r="M64" i="4"/>
  <c r="L39" i="8"/>
  <c r="G12" i="5"/>
  <c r="N12" i="5" s="1"/>
  <c r="N25" i="4"/>
  <c r="E14" i="4"/>
  <c r="G26" i="4"/>
  <c r="K26" i="4" s="1"/>
  <c r="V9" i="3"/>
  <c r="E20" i="3"/>
  <c r="L20" i="3"/>
  <c r="L22" i="8"/>
  <c r="N34" i="6"/>
  <c r="K34" i="6"/>
  <c r="G58" i="3"/>
  <c r="N12" i="4"/>
  <c r="E43" i="8"/>
  <c r="M44" i="6"/>
  <c r="N44" i="6"/>
  <c r="G65" i="3"/>
  <c r="G13" i="4"/>
  <c r="K13" i="4" s="1"/>
  <c r="E13" i="4"/>
  <c r="M23" i="4"/>
  <c r="E67" i="4"/>
  <c r="G67" i="4"/>
  <c r="G76" i="6"/>
  <c r="M76" i="6" s="1"/>
  <c r="G33" i="6"/>
  <c r="K33" i="6" s="1"/>
  <c r="V8" i="3"/>
  <c r="N13" i="9"/>
  <c r="K77" i="6"/>
  <c r="N77" i="6"/>
  <c r="G42" i="3"/>
  <c r="K42" i="3" s="1"/>
  <c r="K23" i="5"/>
  <c r="N23" i="5"/>
  <c r="G67" i="6"/>
  <c r="G24" i="4"/>
  <c r="G14" i="3"/>
  <c r="N14" i="3" s="1"/>
  <c r="E14" i="3"/>
  <c r="C18" i="20"/>
  <c r="M14" i="9"/>
  <c r="K14" i="7"/>
  <c r="M41" i="6"/>
  <c r="K63" i="7"/>
  <c r="M14" i="7"/>
  <c r="L63" i="7"/>
  <c r="L51" i="5"/>
  <c r="M51" i="5"/>
  <c r="M28" i="6"/>
  <c r="M63" i="7"/>
  <c r="N51" i="5"/>
  <c r="L28" i="6"/>
  <c r="L74" i="6"/>
  <c r="N28" i="6"/>
  <c r="N74" i="6"/>
  <c r="N14" i="9"/>
  <c r="M74" i="6"/>
  <c r="K45" i="6"/>
  <c r="L41" i="6"/>
  <c r="K41" i="6"/>
  <c r="L45" i="6"/>
  <c r="N36" i="6"/>
  <c r="L31" i="6"/>
  <c r="M23" i="5"/>
  <c r="M34" i="6"/>
  <c r="L23" i="5"/>
  <c r="K24" i="5"/>
  <c r="L35" i="6"/>
  <c r="N43" i="6"/>
  <c r="K29" i="6"/>
  <c r="K31" i="6"/>
  <c r="L34" i="6"/>
  <c r="N24" i="5"/>
  <c r="M35" i="6"/>
  <c r="M43" i="6"/>
  <c r="M29" i="6"/>
  <c r="K27" i="3"/>
  <c r="M24" i="5"/>
  <c r="L43" i="6"/>
  <c r="L29" i="6"/>
  <c r="N12" i="6"/>
  <c r="L27" i="3"/>
  <c r="M12" i="6"/>
  <c r="M37" i="5"/>
  <c r="N63" i="8"/>
  <c r="L36" i="6"/>
  <c r="L39" i="6"/>
  <c r="K20" i="7"/>
  <c r="K36" i="6"/>
  <c r="K39" i="6"/>
  <c r="M39" i="6"/>
  <c r="L20" i="7"/>
  <c r="L37" i="5"/>
  <c r="N65" i="7"/>
  <c r="L26" i="6"/>
  <c r="K57" i="4"/>
  <c r="K65" i="7"/>
  <c r="K26" i="6"/>
  <c r="L48" i="6"/>
  <c r="N35" i="6"/>
  <c r="L65" i="7"/>
  <c r="M26" i="6"/>
  <c r="K23" i="8"/>
  <c r="M66" i="4"/>
  <c r="M48" i="6"/>
  <c r="L12" i="8"/>
  <c r="N66" i="4"/>
  <c r="M57" i="4"/>
  <c r="L57" i="4"/>
  <c r="N12" i="8"/>
  <c r="K66" i="4"/>
  <c r="K37" i="5"/>
  <c r="M23" i="6"/>
  <c r="M12" i="8"/>
  <c r="K54" i="6"/>
  <c r="L54" i="6"/>
  <c r="K13" i="8"/>
  <c r="M13" i="8"/>
  <c r="N22" i="8"/>
  <c r="K22" i="8"/>
  <c r="L23" i="6"/>
  <c r="N48" i="6"/>
  <c r="N54" i="6"/>
  <c r="L63" i="4"/>
  <c r="N63" i="4"/>
  <c r="N73" i="6"/>
  <c r="M73" i="6"/>
  <c r="N23" i="6"/>
  <c r="N23" i="8"/>
  <c r="M45" i="6"/>
  <c r="N13" i="8"/>
  <c r="N31" i="6"/>
  <c r="M63" i="8"/>
  <c r="D16" i="20"/>
  <c r="K68" i="5"/>
  <c r="D18" i="20"/>
  <c r="D19" i="20"/>
  <c r="C20" i="20"/>
  <c r="N75" i="6"/>
  <c r="M75" i="6"/>
  <c r="L75" i="6"/>
  <c r="C15" i="20"/>
  <c r="G35" i="4"/>
  <c r="L35" i="4" s="1"/>
  <c r="E35" i="4"/>
  <c r="J35" i="4" s="1"/>
  <c r="I35" i="4" s="1"/>
  <c r="E12" i="3"/>
  <c r="J12" i="3" s="1"/>
  <c r="I12" i="3" s="1"/>
  <c r="C14" i="20"/>
  <c r="G12" i="3"/>
  <c r="D14" i="20"/>
  <c r="D15" i="20"/>
  <c r="G14" i="8"/>
  <c r="M33" i="9"/>
  <c r="G15" i="7"/>
  <c r="C16" i="20"/>
  <c r="C19" i="20"/>
  <c r="C17" i="20"/>
  <c r="G50" i="6"/>
  <c r="L50" i="6" s="1"/>
  <c r="G20" i="9"/>
  <c r="N68" i="5"/>
  <c r="L33" i="9"/>
  <c r="L68" i="5"/>
  <c r="E14" i="8"/>
  <c r="N33" i="9"/>
  <c r="D17" i="20"/>
  <c r="H55" i="8" l="1"/>
  <c r="J55" i="8" s="1"/>
  <c r="I55" i="8" s="1"/>
  <c r="H53" i="7"/>
  <c r="J53" i="7" s="1"/>
  <c r="I53" i="7" s="1"/>
  <c r="H51" i="7"/>
  <c r="J51" i="7" s="1"/>
  <c r="I51" i="7" s="1"/>
  <c r="H48" i="9"/>
  <c r="J48" i="9" s="1"/>
  <c r="I48" i="9" s="1"/>
  <c r="H16" i="6"/>
  <c r="J16" i="6" s="1"/>
  <c r="I16" i="6" s="1"/>
  <c r="K47" i="29"/>
  <c r="L47" i="29" s="1"/>
  <c r="K196" i="29"/>
  <c r="L196" i="29" s="1"/>
  <c r="K86" i="29"/>
  <c r="L86" i="29" s="1"/>
  <c r="H45" i="7"/>
  <c r="J45" i="7" s="1"/>
  <c r="I45" i="7" s="1"/>
  <c r="H28" i="7"/>
  <c r="J28" i="7" s="1"/>
  <c r="I28" i="7" s="1"/>
  <c r="K71" i="29"/>
  <c r="L71" i="29" s="1"/>
  <c r="K19" i="29"/>
  <c r="L19" i="29" s="1"/>
  <c r="K83" i="29"/>
  <c r="L83" i="29" s="1"/>
  <c r="K13" i="29"/>
  <c r="L13" i="29" s="1"/>
  <c r="K134" i="29"/>
  <c r="L134" i="29" s="1"/>
  <c r="K143" i="29"/>
  <c r="L143" i="29" s="1"/>
  <c r="K187" i="29"/>
  <c r="L187" i="29" s="1"/>
  <c r="K42" i="29"/>
  <c r="L42" i="29" s="1"/>
  <c r="K132" i="29"/>
  <c r="L132" i="29" s="1"/>
  <c r="K8" i="29"/>
  <c r="L8" i="29" s="1"/>
  <c r="K7" i="29"/>
  <c r="L7" i="29" s="1"/>
  <c r="K37" i="29"/>
  <c r="L37" i="29" s="1"/>
  <c r="K118" i="29"/>
  <c r="L118" i="29" s="1"/>
  <c r="K193" i="29"/>
  <c r="L193" i="29" s="1"/>
  <c r="K128" i="29"/>
  <c r="L128" i="29" s="1"/>
  <c r="K77" i="29"/>
  <c r="L77" i="29" s="1"/>
  <c r="K204" i="29"/>
  <c r="L204" i="29" s="1"/>
  <c r="K114" i="29"/>
  <c r="L114" i="29" s="1"/>
  <c r="K81" i="29"/>
  <c r="L81" i="29" s="1"/>
  <c r="K157" i="29"/>
  <c r="L157" i="29" s="1"/>
  <c r="K111" i="29"/>
  <c r="L111" i="29" s="1"/>
  <c r="K40" i="29"/>
  <c r="L40" i="29" s="1"/>
  <c r="K18" i="29"/>
  <c r="L18" i="29" s="1"/>
  <c r="K67" i="29"/>
  <c r="L67" i="29" s="1"/>
  <c r="K116" i="29"/>
  <c r="L116" i="29" s="1"/>
  <c r="K141" i="29"/>
  <c r="L141" i="29" s="1"/>
  <c r="K200" i="29"/>
  <c r="L200" i="29" s="1"/>
  <c r="K26" i="29"/>
  <c r="L26" i="29" s="1"/>
  <c r="K122" i="29"/>
  <c r="L122" i="29" s="1"/>
  <c r="K62" i="29"/>
  <c r="L62" i="29" s="1"/>
  <c r="K120" i="29"/>
  <c r="L120" i="29" s="1"/>
  <c r="K182" i="29"/>
  <c r="L182" i="29" s="1"/>
  <c r="K4" i="29"/>
  <c r="L4" i="29" s="1"/>
  <c r="K149" i="29"/>
  <c r="L149" i="29" s="1"/>
  <c r="K15" i="29"/>
  <c r="L15" i="29" s="1"/>
  <c r="K95" i="29"/>
  <c r="L95" i="29" s="1"/>
  <c r="K52" i="29"/>
  <c r="L52" i="29" s="1"/>
  <c r="K103" i="29"/>
  <c r="L103" i="29" s="1"/>
  <c r="K79" i="29"/>
  <c r="L79" i="29" s="1"/>
  <c r="K90" i="29"/>
  <c r="L90" i="29" s="1"/>
  <c r="K6" i="29"/>
  <c r="L6" i="29" s="1"/>
  <c r="K97" i="29"/>
  <c r="L97" i="29" s="1"/>
  <c r="K160" i="29"/>
  <c r="L160" i="29" s="1"/>
  <c r="K49" i="29"/>
  <c r="L49" i="29" s="1"/>
  <c r="K106" i="29"/>
  <c r="L106" i="29" s="1"/>
  <c r="K146" i="29"/>
  <c r="L146" i="29" s="1"/>
  <c r="K135" i="29"/>
  <c r="L135" i="29" s="1"/>
  <c r="K24" i="29"/>
  <c r="L24" i="29" s="1"/>
  <c r="K36" i="29"/>
  <c r="L36" i="29" s="1"/>
  <c r="K137" i="29"/>
  <c r="L137" i="29" s="1"/>
  <c r="K178" i="29"/>
  <c r="L178" i="29" s="1"/>
  <c r="K68" i="29"/>
  <c r="L68" i="29" s="1"/>
  <c r="K41" i="29"/>
  <c r="L41" i="29" s="1"/>
  <c r="K206" i="29"/>
  <c r="L206" i="29" s="1"/>
  <c r="K176" i="29"/>
  <c r="L176" i="29" s="1"/>
  <c r="K194" i="29"/>
  <c r="L194" i="29" s="1"/>
  <c r="K167" i="29"/>
  <c r="L167" i="29" s="1"/>
  <c r="K109" i="29"/>
  <c r="L109" i="29" s="1"/>
  <c r="K33" i="29"/>
  <c r="L33" i="29" s="1"/>
  <c r="K56" i="29"/>
  <c r="L56" i="29" s="1"/>
  <c r="K119" i="29"/>
  <c r="L119" i="29" s="1"/>
  <c r="K139" i="29"/>
  <c r="L139" i="29" s="1"/>
  <c r="K153" i="29"/>
  <c r="L153" i="29" s="1"/>
  <c r="K181" i="29"/>
  <c r="L181" i="29" s="1"/>
  <c r="K110" i="29"/>
  <c r="L110" i="29" s="1"/>
  <c r="K66" i="29"/>
  <c r="L66" i="29" s="1"/>
  <c r="K63" i="29"/>
  <c r="L63" i="29" s="1"/>
  <c r="K76" i="29"/>
  <c r="L76" i="29" s="1"/>
  <c r="K197" i="29"/>
  <c r="L197" i="29" s="1"/>
  <c r="K53" i="29"/>
  <c r="L53" i="29" s="1"/>
  <c r="K188" i="29"/>
  <c r="L188" i="29" s="1"/>
  <c r="K108" i="29"/>
  <c r="L108" i="29" s="1"/>
  <c r="K158" i="29"/>
  <c r="L158" i="29" s="1"/>
  <c r="K121" i="29"/>
  <c r="L121" i="29" s="1"/>
  <c r="K127" i="29"/>
  <c r="L127" i="29" s="1"/>
  <c r="K172" i="29"/>
  <c r="L172" i="29" s="1"/>
  <c r="K31" i="29"/>
  <c r="L31" i="29" s="1"/>
  <c r="K17" i="29"/>
  <c r="L17" i="29" s="1"/>
  <c r="K74" i="29"/>
  <c r="L74" i="29" s="1"/>
  <c r="K69" i="29"/>
  <c r="L69" i="29" s="1"/>
  <c r="K102" i="29"/>
  <c r="L102" i="29" s="1"/>
  <c r="K85" i="29"/>
  <c r="L85" i="29" s="1"/>
  <c r="K129" i="29"/>
  <c r="L129" i="29" s="1"/>
  <c r="K28" i="29"/>
  <c r="L28" i="29" s="1"/>
  <c r="K70" i="29"/>
  <c r="L70" i="29" s="1"/>
  <c r="K117" i="29"/>
  <c r="L117" i="29" s="1"/>
  <c r="K112" i="29"/>
  <c r="L112" i="29" s="1"/>
  <c r="K59" i="29"/>
  <c r="L59" i="29" s="1"/>
  <c r="K151" i="29"/>
  <c r="L151" i="29" s="1"/>
  <c r="K166" i="29"/>
  <c r="L166" i="29" s="1"/>
  <c r="K191" i="29"/>
  <c r="L191" i="29" s="1"/>
  <c r="K98" i="29"/>
  <c r="L98" i="29" s="1"/>
  <c r="K131" i="29"/>
  <c r="L131" i="29" s="1"/>
  <c r="K104" i="29"/>
  <c r="L104" i="29" s="1"/>
  <c r="K99" i="29"/>
  <c r="L99" i="29" s="1"/>
  <c r="K87" i="29"/>
  <c r="L87" i="29" s="1"/>
  <c r="K105" i="29"/>
  <c r="L105" i="29" s="1"/>
  <c r="K171" i="29"/>
  <c r="L171" i="29" s="1"/>
  <c r="K198" i="29"/>
  <c r="L198" i="29" s="1"/>
  <c r="K51" i="29"/>
  <c r="L51" i="29" s="1"/>
  <c r="K92" i="29"/>
  <c r="L92" i="29" s="1"/>
  <c r="K142" i="29"/>
  <c r="L142" i="29" s="1"/>
  <c r="K162" i="29"/>
  <c r="L162" i="29" s="1"/>
  <c r="K64" i="29"/>
  <c r="L64" i="29" s="1"/>
  <c r="K184" i="29"/>
  <c r="L184" i="29" s="1"/>
  <c r="K38" i="29"/>
  <c r="L38" i="29" s="1"/>
  <c r="K48" i="29"/>
  <c r="L48" i="29" s="1"/>
  <c r="K21" i="29"/>
  <c r="L21" i="29" s="1"/>
  <c r="K107" i="29"/>
  <c r="L107" i="29" s="1"/>
  <c r="K140" i="29"/>
  <c r="L140" i="29" s="1"/>
  <c r="K25" i="29"/>
  <c r="L25" i="29" s="1"/>
  <c r="K91" i="29"/>
  <c r="L91" i="29" s="1"/>
  <c r="K179" i="29"/>
  <c r="L179" i="29" s="1"/>
  <c r="K9" i="29"/>
  <c r="L9" i="29" s="1"/>
  <c r="K82" i="29"/>
  <c r="L82" i="29" s="1"/>
  <c r="K45" i="29"/>
  <c r="L45" i="29" s="1"/>
  <c r="K180" i="29"/>
  <c r="L180" i="29" s="1"/>
  <c r="K93" i="29"/>
  <c r="L93" i="29" s="1"/>
  <c r="K205" i="29"/>
  <c r="L205" i="29" s="1"/>
  <c r="K14" i="29"/>
  <c r="L14" i="29" s="1"/>
  <c r="K124" i="29"/>
  <c r="L124" i="29" s="1"/>
  <c r="K152" i="29"/>
  <c r="L152" i="29" s="1"/>
  <c r="K164" i="29"/>
  <c r="L164" i="29" s="1"/>
  <c r="K72" i="29"/>
  <c r="L72" i="29" s="1"/>
  <c r="K10" i="29"/>
  <c r="L10" i="29" s="1"/>
  <c r="K165" i="29"/>
  <c r="L165" i="29" s="1"/>
  <c r="K190" i="29"/>
  <c r="L190" i="29" s="1"/>
  <c r="K30" i="29"/>
  <c r="L30" i="29" s="1"/>
  <c r="K173" i="29"/>
  <c r="L173" i="29" s="1"/>
  <c r="K138" i="29"/>
  <c r="L138" i="29" s="1"/>
  <c r="K57" i="29"/>
  <c r="L57" i="29" s="1"/>
  <c r="K101" i="29"/>
  <c r="L101" i="29" s="1"/>
  <c r="K136" i="29"/>
  <c r="L136" i="29" s="1"/>
  <c r="K177" i="29"/>
  <c r="L177" i="29" s="1"/>
  <c r="K195" i="29"/>
  <c r="L195" i="29" s="1"/>
  <c r="K155" i="29"/>
  <c r="L155" i="29" s="1"/>
  <c r="K61" i="29"/>
  <c r="L61" i="29" s="1"/>
  <c r="K189" i="29"/>
  <c r="L189" i="29" s="1"/>
  <c r="K39" i="29"/>
  <c r="L39" i="29" s="1"/>
  <c r="K161" i="29"/>
  <c r="L161" i="29" s="1"/>
  <c r="K183" i="29"/>
  <c r="L183" i="29" s="1"/>
  <c r="K100" i="29"/>
  <c r="L100" i="29" s="1"/>
  <c r="K84" i="29"/>
  <c r="L84" i="29" s="1"/>
  <c r="K156" i="29"/>
  <c r="L156" i="29" s="1"/>
  <c r="K54" i="29"/>
  <c r="L54" i="29" s="1"/>
  <c r="K145" i="29"/>
  <c r="L145" i="29" s="1"/>
  <c r="K27" i="29"/>
  <c r="L27" i="29" s="1"/>
  <c r="K44" i="29"/>
  <c r="L44" i="29" s="1"/>
  <c r="K126" i="29"/>
  <c r="L126" i="29" s="1"/>
  <c r="K55" i="29"/>
  <c r="L55" i="29" s="1"/>
  <c r="K89" i="29"/>
  <c r="L89" i="29" s="1"/>
  <c r="K78" i="29"/>
  <c r="L78" i="29" s="1"/>
  <c r="K32" i="29"/>
  <c r="L32" i="29" s="1"/>
  <c r="K35" i="29"/>
  <c r="L35" i="29" s="1"/>
  <c r="K130" i="29"/>
  <c r="L130" i="29" s="1"/>
  <c r="K22" i="29"/>
  <c r="L22" i="29" s="1"/>
  <c r="K159" i="29"/>
  <c r="L159" i="29" s="1"/>
  <c r="K50" i="29"/>
  <c r="L50" i="29" s="1"/>
  <c r="K154" i="29"/>
  <c r="L154" i="29" s="1"/>
  <c r="K115" i="29"/>
  <c r="L115" i="29" s="1"/>
  <c r="K170" i="29"/>
  <c r="L170" i="29" s="1"/>
  <c r="K199" i="29"/>
  <c r="L199" i="29" s="1"/>
  <c r="K163" i="29"/>
  <c r="L163" i="29" s="1"/>
  <c r="K169" i="29"/>
  <c r="L169" i="29" s="1"/>
  <c r="K65" i="29"/>
  <c r="L65" i="29" s="1"/>
  <c r="K185" i="29"/>
  <c r="L185" i="29" s="1"/>
  <c r="K73" i="29"/>
  <c r="L73" i="29" s="1"/>
  <c r="K46" i="29"/>
  <c r="L46" i="29" s="1"/>
  <c r="K147" i="29"/>
  <c r="L147" i="29" s="1"/>
  <c r="K29" i="29"/>
  <c r="L29" i="29" s="1"/>
  <c r="K150" i="29"/>
  <c r="L150" i="29" s="1"/>
  <c r="K58" i="29"/>
  <c r="L58" i="29" s="1"/>
  <c r="K43" i="29"/>
  <c r="L43" i="29" s="1"/>
  <c r="K88" i="29"/>
  <c r="L88" i="29" s="1"/>
  <c r="K144" i="29"/>
  <c r="L144" i="29" s="1"/>
  <c r="K113" i="29"/>
  <c r="L113" i="29" s="1"/>
  <c r="K168" i="29"/>
  <c r="L168" i="29" s="1"/>
  <c r="K133" i="29"/>
  <c r="L133" i="29" s="1"/>
  <c r="K34" i="29"/>
  <c r="L34" i="29" s="1"/>
  <c r="K20" i="29"/>
  <c r="L20" i="29" s="1"/>
  <c r="K96" i="29"/>
  <c r="L96" i="29" s="1"/>
  <c r="K125" i="29"/>
  <c r="L125" i="29" s="1"/>
  <c r="K203" i="29"/>
  <c r="L203" i="29" s="1"/>
  <c r="K192" i="29"/>
  <c r="L192" i="29" s="1"/>
  <c r="K202" i="29"/>
  <c r="L202" i="29" s="1"/>
  <c r="K175" i="29"/>
  <c r="L175" i="29" s="1"/>
  <c r="K60" i="29"/>
  <c r="L60" i="29" s="1"/>
  <c r="K16" i="29"/>
  <c r="L16" i="29" s="1"/>
  <c r="K11" i="29"/>
  <c r="L11" i="29" s="1"/>
  <c r="K75" i="29"/>
  <c r="L75" i="29" s="1"/>
  <c r="K12" i="29"/>
  <c r="L12" i="29" s="1"/>
  <c r="K148" i="29"/>
  <c r="L148" i="29" s="1"/>
  <c r="K94" i="29"/>
  <c r="L94" i="29" s="1"/>
  <c r="K174" i="29"/>
  <c r="L174" i="29" s="1"/>
  <c r="K201" i="29"/>
  <c r="L201" i="29" s="1"/>
  <c r="K5" i="29"/>
  <c r="L5" i="29" s="1"/>
  <c r="K186" i="29"/>
  <c r="L186" i="29" s="1"/>
  <c r="K80" i="29"/>
  <c r="L80" i="29" s="1"/>
  <c r="K23" i="29"/>
  <c r="L23" i="29" s="1"/>
  <c r="K123" i="29"/>
  <c r="L123" i="29" s="1"/>
  <c r="H36" i="5"/>
  <c r="J36" i="5" s="1"/>
  <c r="I36" i="5" s="1"/>
  <c r="H29" i="8"/>
  <c r="J29" i="8" s="1"/>
  <c r="I29" i="8" s="1"/>
  <c r="H50" i="7"/>
  <c r="J50" i="7" s="1"/>
  <c r="I50" i="7" s="1"/>
  <c r="H59" i="6"/>
  <c r="J59" i="6" s="1"/>
  <c r="I59" i="6" s="1"/>
  <c r="H53" i="8"/>
  <c r="J53" i="8" s="1"/>
  <c r="I53" i="8" s="1"/>
  <c r="H32" i="5"/>
  <c r="J32" i="5" s="1"/>
  <c r="I32" i="5" s="1"/>
  <c r="H46" i="4"/>
  <c r="J46" i="4" s="1"/>
  <c r="I46" i="4" s="1"/>
  <c r="L20" i="5"/>
  <c r="H28" i="3"/>
  <c r="J28" i="3" s="1"/>
  <c r="I28" i="3" s="1"/>
  <c r="K20" i="5"/>
  <c r="N20" i="5"/>
  <c r="N21" i="5" s="1"/>
  <c r="H25" i="8"/>
  <c r="J25" i="8" s="1"/>
  <c r="I25" i="8" s="1"/>
  <c r="H28" i="6"/>
  <c r="J28" i="6" s="1"/>
  <c r="I28" i="6" s="1"/>
  <c r="H28" i="8"/>
  <c r="J28" i="8" s="1"/>
  <c r="I28" i="8" s="1"/>
  <c r="H25" i="9"/>
  <c r="J25" i="9" s="1"/>
  <c r="I25" i="9" s="1"/>
  <c r="H23" i="7"/>
  <c r="J23" i="7" s="1"/>
  <c r="I23" i="7" s="1"/>
  <c r="H57" i="5"/>
  <c r="J57" i="5" s="1"/>
  <c r="I57" i="5" s="1"/>
  <c r="H16" i="4"/>
  <c r="J16" i="4" s="1"/>
  <c r="I16" i="4" s="1"/>
  <c r="M40" i="3"/>
  <c r="H33" i="5"/>
  <c r="J33" i="5" s="1"/>
  <c r="I33" i="5" s="1"/>
  <c r="J47" i="6"/>
  <c r="I47" i="6" s="1"/>
  <c r="J66" i="4"/>
  <c r="I66" i="4" s="1"/>
  <c r="H44" i="4"/>
  <c r="J44" i="4" s="1"/>
  <c r="I44" i="4" s="1"/>
  <c r="H65" i="8"/>
  <c r="J65" i="8" s="1"/>
  <c r="I65" i="8" s="1"/>
  <c r="H68" i="5"/>
  <c r="J68" i="5" s="1"/>
  <c r="I68" i="5" s="1"/>
  <c r="J21" i="7"/>
  <c r="I21" i="7" s="1"/>
  <c r="J65" i="7"/>
  <c r="I65" i="7" s="1"/>
  <c r="J59" i="5"/>
  <c r="I59" i="5" s="1"/>
  <c r="J21" i="3"/>
  <c r="I21" i="3" s="1"/>
  <c r="J43" i="6"/>
  <c r="I43" i="6" s="1"/>
  <c r="J21" i="6"/>
  <c r="I21" i="6" s="1"/>
  <c r="J34" i="6"/>
  <c r="I34" i="6" s="1"/>
  <c r="V10" i="6"/>
  <c r="D6" i="20" s="1"/>
  <c r="J19" i="4"/>
  <c r="I19" i="4" s="1"/>
  <c r="J23" i="4"/>
  <c r="I23" i="4" s="1"/>
  <c r="J24" i="5"/>
  <c r="I24" i="5" s="1"/>
  <c r="J54" i="6"/>
  <c r="I54" i="6" s="1"/>
  <c r="H40" i="4"/>
  <c r="J40" i="4" s="1"/>
  <c r="I40" i="4" s="1"/>
  <c r="H20" i="6"/>
  <c r="J20" i="6" s="1"/>
  <c r="I20" i="6" s="1"/>
  <c r="H20" i="3"/>
  <c r="J20" i="3" s="1"/>
  <c r="I20" i="3" s="1"/>
  <c r="H42" i="7"/>
  <c r="J42" i="7" s="1"/>
  <c r="I42" i="7" s="1"/>
  <c r="H30" i="6"/>
  <c r="J30" i="6" s="1"/>
  <c r="I30" i="6" s="1"/>
  <c r="H20" i="5"/>
  <c r="J20" i="5" s="1"/>
  <c r="I20" i="5" s="1"/>
  <c r="H64" i="4"/>
  <c r="J64" i="4" s="1"/>
  <c r="I64" i="4" s="1"/>
  <c r="H15" i="4"/>
  <c r="J15" i="4" s="1"/>
  <c r="I15" i="4" s="1"/>
  <c r="H65" i="3"/>
  <c r="J65" i="3" s="1"/>
  <c r="I65" i="3" s="1"/>
  <c r="H15" i="7"/>
  <c r="J15" i="7" s="1"/>
  <c r="I15" i="7" s="1"/>
  <c r="H74" i="6"/>
  <c r="J74" i="6" s="1"/>
  <c r="I74" i="6" s="1"/>
  <c r="H66" i="5"/>
  <c r="J66" i="5" s="1"/>
  <c r="I66" i="5" s="1"/>
  <c r="H15" i="6"/>
  <c r="J15" i="6" s="1"/>
  <c r="I15" i="6" s="1"/>
  <c r="H63" i="7"/>
  <c r="J63" i="7" s="1"/>
  <c r="I63" i="7" s="1"/>
  <c r="H41" i="6"/>
  <c r="J41" i="6" s="1"/>
  <c r="I41" i="6" s="1"/>
  <c r="H63" i="8"/>
  <c r="J63" i="8" s="1"/>
  <c r="I63" i="8" s="1"/>
  <c r="H15" i="3"/>
  <c r="J15" i="3" s="1"/>
  <c r="I15" i="3" s="1"/>
  <c r="H56" i="9"/>
  <c r="J56" i="9" s="1"/>
  <c r="I56" i="9" s="1"/>
  <c r="H15" i="9"/>
  <c r="J15" i="9" s="1"/>
  <c r="I15" i="9" s="1"/>
  <c r="H15" i="8"/>
  <c r="J15" i="8" s="1"/>
  <c r="I15" i="8" s="1"/>
  <c r="H30" i="4"/>
  <c r="J30" i="4" s="1"/>
  <c r="I30" i="4" s="1"/>
  <c r="H49" i="9"/>
  <c r="J49" i="9" s="1"/>
  <c r="I49" i="9" s="1"/>
  <c r="H37" i="5"/>
  <c r="J37" i="5" s="1"/>
  <c r="I37" i="5" s="1"/>
  <c r="H57" i="4"/>
  <c r="J57" i="4" s="1"/>
  <c r="I57" i="4" s="1"/>
  <c r="H39" i="8"/>
  <c r="J39" i="8" s="1"/>
  <c r="I39" i="8" s="1"/>
  <c r="H56" i="6"/>
  <c r="J56" i="6" s="1"/>
  <c r="I56" i="6" s="1"/>
  <c r="H23" i="6"/>
  <c r="J23" i="6" s="1"/>
  <c r="I23" i="6" s="1"/>
  <c r="H36" i="6"/>
  <c r="J36" i="6" s="1"/>
  <c r="I36" i="6" s="1"/>
  <c r="H32" i="4"/>
  <c r="J32" i="4" s="1"/>
  <c r="I32" i="4" s="1"/>
  <c r="H45" i="6"/>
  <c r="J45" i="6" s="1"/>
  <c r="I45" i="6" s="1"/>
  <c r="H29" i="6"/>
  <c r="J29" i="6" s="1"/>
  <c r="I29" i="6" s="1"/>
  <c r="H22" i="3"/>
  <c r="J22" i="3" s="1"/>
  <c r="I22" i="3" s="1"/>
  <c r="H28" i="5"/>
  <c r="J28" i="5" s="1"/>
  <c r="I28" i="5" s="1"/>
  <c r="H31" i="5"/>
  <c r="J31" i="5" s="1"/>
  <c r="I31" i="5" s="1"/>
  <c r="H77" i="6"/>
  <c r="J77" i="6" s="1"/>
  <c r="I77" i="6" s="1"/>
  <c r="H69" i="5"/>
  <c r="J69" i="5" s="1"/>
  <c r="I69" i="5" s="1"/>
  <c r="H67" i="4"/>
  <c r="J67" i="4" s="1"/>
  <c r="I67" i="4" s="1"/>
  <c r="H68" i="3"/>
  <c r="J68" i="3" s="1"/>
  <c r="H66" i="7"/>
  <c r="J66" i="7" s="1"/>
  <c r="I66" i="7" s="1"/>
  <c r="H32" i="6"/>
  <c r="J32" i="6" s="1"/>
  <c r="I32" i="6" s="1"/>
  <c r="H66" i="8"/>
  <c r="J66" i="8" s="1"/>
  <c r="I66" i="8" s="1"/>
  <c r="H26" i="4"/>
  <c r="J26" i="4" s="1"/>
  <c r="I26" i="4" s="1"/>
  <c r="H59" i="9"/>
  <c r="J59" i="9" s="1"/>
  <c r="I59" i="9" s="1"/>
  <c r="H49" i="6"/>
  <c r="J49" i="6" s="1"/>
  <c r="I49" i="6" s="1"/>
  <c r="H40" i="6"/>
  <c r="J40" i="6" s="1"/>
  <c r="I40" i="6" s="1"/>
  <c r="H36" i="4"/>
  <c r="J36" i="4" s="1"/>
  <c r="I36" i="4" s="1"/>
  <c r="J43" i="8"/>
  <c r="I43" i="8" s="1"/>
  <c r="J42" i="6"/>
  <c r="I42" i="6" s="1"/>
  <c r="H49" i="5"/>
  <c r="J49" i="5" s="1"/>
  <c r="I49" i="5" s="1"/>
  <c r="H44" i="6"/>
  <c r="J44" i="6" s="1"/>
  <c r="I44" i="6" s="1"/>
  <c r="H51" i="5"/>
  <c r="J51" i="5" s="1"/>
  <c r="I51" i="5" s="1"/>
  <c r="H47" i="8"/>
  <c r="J47" i="8" s="1"/>
  <c r="I47" i="8" s="1"/>
  <c r="H29" i="5"/>
  <c r="J29" i="5" s="1"/>
  <c r="I29" i="5" s="1"/>
  <c r="H13" i="7"/>
  <c r="J13" i="7" s="1"/>
  <c r="I13" i="7" s="1"/>
  <c r="H13" i="6"/>
  <c r="J13" i="6" s="1"/>
  <c r="I13" i="6" s="1"/>
  <c r="H13" i="4"/>
  <c r="J13" i="4" s="1"/>
  <c r="I13" i="4" s="1"/>
  <c r="H13" i="5"/>
  <c r="J13" i="5" s="1"/>
  <c r="I13" i="5" s="1"/>
  <c r="H13" i="9"/>
  <c r="J13" i="9" s="1"/>
  <c r="I13" i="9" s="1"/>
  <c r="H13" i="8"/>
  <c r="J13" i="8" s="1"/>
  <c r="H13" i="3"/>
  <c r="J13" i="3" s="1"/>
  <c r="I13" i="3" s="1"/>
  <c r="H22" i="8"/>
  <c r="J22" i="8" s="1"/>
  <c r="I22" i="8" s="1"/>
  <c r="H53" i="6"/>
  <c r="J53" i="6" s="1"/>
  <c r="I53" i="6" s="1"/>
  <c r="H33" i="9"/>
  <c r="J33" i="9" s="1"/>
  <c r="I33" i="9" s="1"/>
  <c r="H23" i="5"/>
  <c r="J23" i="5" s="1"/>
  <c r="I23" i="5" s="1"/>
  <c r="H37" i="9"/>
  <c r="J37" i="9" s="1"/>
  <c r="I37" i="9" s="1"/>
  <c r="H14" i="4"/>
  <c r="J14" i="4" s="1"/>
  <c r="I14" i="4" s="1"/>
  <c r="H14" i="5"/>
  <c r="J14" i="5" s="1"/>
  <c r="I14" i="5" s="1"/>
  <c r="H14" i="7"/>
  <c r="J14" i="7" s="1"/>
  <c r="I14" i="7" s="1"/>
  <c r="H14" i="6"/>
  <c r="J14" i="6" s="1"/>
  <c r="I14" i="6" s="1"/>
  <c r="H14" i="3"/>
  <c r="J14" i="3" s="1"/>
  <c r="I14" i="3" s="1"/>
  <c r="H14" i="9"/>
  <c r="J14" i="9" s="1"/>
  <c r="H14" i="8"/>
  <c r="J14" i="8" s="1"/>
  <c r="I14" i="8" s="1"/>
  <c r="H25" i="3"/>
  <c r="J25" i="3" s="1"/>
  <c r="I25" i="3" s="1"/>
  <c r="H64" i="3"/>
  <c r="J64" i="3" s="1"/>
  <c r="I64" i="3" s="1"/>
  <c r="H63" i="4"/>
  <c r="J63" i="4" s="1"/>
  <c r="H62" i="7"/>
  <c r="J62" i="7" s="1"/>
  <c r="I62" i="7" s="1"/>
  <c r="H73" i="6"/>
  <c r="J73" i="6" s="1"/>
  <c r="I73" i="6" s="1"/>
  <c r="H65" i="5"/>
  <c r="J65" i="5" s="1"/>
  <c r="I65" i="5" s="1"/>
  <c r="H62" i="8"/>
  <c r="J62" i="8" s="1"/>
  <c r="I62" i="8" s="1"/>
  <c r="H55" i="9"/>
  <c r="J55" i="9" s="1"/>
  <c r="I55" i="9" s="1"/>
  <c r="H24" i="6"/>
  <c r="J24" i="6" s="1"/>
  <c r="I24" i="6" s="1"/>
  <c r="H24" i="3"/>
  <c r="J24" i="3" s="1"/>
  <c r="I24" i="3" s="1"/>
  <c r="H12" i="8"/>
  <c r="J12" i="8" s="1"/>
  <c r="I12" i="8" s="1"/>
  <c r="H12" i="6"/>
  <c r="J12" i="6" s="1"/>
  <c r="I12" i="6" s="1"/>
  <c r="H12" i="5"/>
  <c r="J12" i="5" s="1"/>
  <c r="I12" i="5" s="1"/>
  <c r="H12" i="7"/>
  <c r="J12" i="7" s="1"/>
  <c r="I12" i="7" s="1"/>
  <c r="H12" i="4"/>
  <c r="J12" i="4" s="1"/>
  <c r="I12" i="4" s="1"/>
  <c r="H12" i="9"/>
  <c r="J12" i="9" s="1"/>
  <c r="I12" i="9" s="1"/>
  <c r="H20" i="9"/>
  <c r="J20" i="9" s="1"/>
  <c r="I20" i="9" s="1"/>
  <c r="H40" i="5"/>
  <c r="J40" i="5" s="1"/>
  <c r="I40" i="5" s="1"/>
  <c r="H42" i="3"/>
  <c r="J42" i="3" s="1"/>
  <c r="I42" i="3" s="1"/>
  <c r="H22" i="4"/>
  <c r="J22" i="4" s="1"/>
  <c r="I22" i="4" s="1"/>
  <c r="H42" i="8"/>
  <c r="J42" i="8" s="1"/>
  <c r="I42" i="8" s="1"/>
  <c r="H20" i="7"/>
  <c r="J20" i="7" s="1"/>
  <c r="I20" i="7" s="1"/>
  <c r="H35" i="6"/>
  <c r="J35" i="6" s="1"/>
  <c r="I35" i="6" s="1"/>
  <c r="J29" i="4"/>
  <c r="I29" i="4" s="1"/>
  <c r="J43" i="7"/>
  <c r="I43" i="7" s="1"/>
  <c r="J23" i="8"/>
  <c r="I23" i="8" s="1"/>
  <c r="H31" i="4"/>
  <c r="J31" i="4" s="1"/>
  <c r="I31" i="4" s="1"/>
  <c r="H26" i="6"/>
  <c r="J26" i="6" s="1"/>
  <c r="I26" i="6" s="1"/>
  <c r="J37" i="4"/>
  <c r="I37" i="4" s="1"/>
  <c r="H27" i="3"/>
  <c r="J27" i="3" s="1"/>
  <c r="I27" i="3" s="1"/>
  <c r="M24" i="6"/>
  <c r="N24" i="6"/>
  <c r="K24" i="6"/>
  <c r="N15" i="3"/>
  <c r="K15" i="3"/>
  <c r="M15" i="3"/>
  <c r="H22" i="6"/>
  <c r="J22" i="6" s="1"/>
  <c r="I22" i="6" s="1"/>
  <c r="H25" i="4"/>
  <c r="J25" i="4" s="1"/>
  <c r="I25" i="4" s="1"/>
  <c r="J48" i="6"/>
  <c r="I48" i="6" s="1"/>
  <c r="N49" i="5"/>
  <c r="K67" i="3"/>
  <c r="L21" i="9"/>
  <c r="L15" i="6"/>
  <c r="M36" i="4"/>
  <c r="N36" i="4"/>
  <c r="L36" i="4"/>
  <c r="K15" i="6"/>
  <c r="N40" i="6"/>
  <c r="M15" i="6"/>
  <c r="J52" i="5"/>
  <c r="I52" i="5" s="1"/>
  <c r="L49" i="5"/>
  <c r="K49" i="5"/>
  <c r="V10" i="5"/>
  <c r="D5" i="20" s="1"/>
  <c r="J27" i="6"/>
  <c r="I27" i="6" s="1"/>
  <c r="K40" i="6"/>
  <c r="M40" i="6"/>
  <c r="L40" i="4"/>
  <c r="N65" i="5"/>
  <c r="H17" i="7"/>
  <c r="J17" i="7" s="1"/>
  <c r="I17" i="7" s="1"/>
  <c r="M40" i="5"/>
  <c r="L40" i="5"/>
  <c r="L22" i="6"/>
  <c r="M22" i="6"/>
  <c r="K22" i="6"/>
  <c r="V10" i="7"/>
  <c r="D7" i="20" s="1"/>
  <c r="L58" i="9"/>
  <c r="J75" i="6"/>
  <c r="I75" i="6" s="1"/>
  <c r="M25" i="6"/>
  <c r="L29" i="4"/>
  <c r="N29" i="4"/>
  <c r="K29" i="4"/>
  <c r="K25" i="6"/>
  <c r="L66" i="5"/>
  <c r="L26" i="4"/>
  <c r="L37" i="6"/>
  <c r="M66" i="5"/>
  <c r="K66" i="5"/>
  <c r="K14" i="5"/>
  <c r="N55" i="6"/>
  <c r="K13" i="7"/>
  <c r="M64" i="7"/>
  <c r="N30" i="9"/>
  <c r="M32" i="4"/>
  <c r="M38" i="6"/>
  <c r="L30" i="9"/>
  <c r="K13" i="6"/>
  <c r="M13" i="6"/>
  <c r="K37" i="6"/>
  <c r="J39" i="6"/>
  <c r="I39" i="6" s="1"/>
  <c r="N32" i="4"/>
  <c r="N65" i="4"/>
  <c r="K38" i="6"/>
  <c r="K30" i="4"/>
  <c r="N13" i="6"/>
  <c r="M30" i="4"/>
  <c r="M37" i="6"/>
  <c r="K65" i="4"/>
  <c r="L32" i="4"/>
  <c r="M30" i="9"/>
  <c r="N30" i="4"/>
  <c r="K15" i="9"/>
  <c r="N57" i="9"/>
  <c r="K49" i="3"/>
  <c r="N43" i="3"/>
  <c r="M43" i="3"/>
  <c r="L43" i="3"/>
  <c r="L57" i="9"/>
  <c r="K55" i="6"/>
  <c r="L15" i="9"/>
  <c r="N30" i="6"/>
  <c r="N13" i="7"/>
  <c r="N15" i="9"/>
  <c r="K57" i="9"/>
  <c r="N49" i="3"/>
  <c r="K19" i="8"/>
  <c r="M13" i="7"/>
  <c r="K46" i="6"/>
  <c r="K17" i="3"/>
  <c r="N58" i="9"/>
  <c r="L12" i="7"/>
  <c r="N56" i="7"/>
  <c r="M56" i="7"/>
  <c r="K30" i="6"/>
  <c r="M30" i="6"/>
  <c r="N21" i="9"/>
  <c r="N53" i="3"/>
  <c r="K40" i="5"/>
  <c r="N25" i="6"/>
  <c r="K21" i="9"/>
  <c r="L41" i="4"/>
  <c r="K41" i="4"/>
  <c r="L14" i="5"/>
  <c r="M17" i="3"/>
  <c r="K64" i="7"/>
  <c r="K42" i="7"/>
  <c r="N42" i="7"/>
  <c r="L42" i="7"/>
  <c r="N64" i="7"/>
  <c r="K12" i="7"/>
  <c r="L56" i="7"/>
  <c r="L15" i="8"/>
  <c r="M49" i="3"/>
  <c r="N15" i="8"/>
  <c r="K13" i="5"/>
  <c r="M13" i="5"/>
  <c r="M34" i="9"/>
  <c r="L34" i="9"/>
  <c r="N34" i="9"/>
  <c r="K64" i="8"/>
  <c r="M43" i="8"/>
  <c r="L64" i="8"/>
  <c r="N64" i="8"/>
  <c r="N67" i="8" s="1"/>
  <c r="L19" i="8"/>
  <c r="M19" i="8"/>
  <c r="K66" i="8"/>
  <c r="K62" i="8"/>
  <c r="M62" i="8"/>
  <c r="M66" i="8"/>
  <c r="L66" i="8"/>
  <c r="L62" i="8"/>
  <c r="M46" i="6"/>
  <c r="E20" i="20"/>
  <c r="G20" i="20" s="1"/>
  <c r="L17" i="9"/>
  <c r="K53" i="3"/>
  <c r="M53" i="3"/>
  <c r="N64" i="3"/>
  <c r="M64" i="3"/>
  <c r="L64" i="3"/>
  <c r="L13" i="3"/>
  <c r="K39" i="7"/>
  <c r="V10" i="4"/>
  <c r="D4" i="20" s="1"/>
  <c r="N46" i="6"/>
  <c r="K65" i="5"/>
  <c r="M41" i="4"/>
  <c r="L12" i="9"/>
  <c r="M14" i="5"/>
  <c r="M59" i="5"/>
  <c r="K12" i="5"/>
  <c r="M67" i="3"/>
  <c r="L67" i="3"/>
  <c r="M66" i="3"/>
  <c r="N13" i="3"/>
  <c r="L66" i="3"/>
  <c r="M13" i="3"/>
  <c r="K66" i="3"/>
  <c r="K14" i="6"/>
  <c r="N14" i="6"/>
  <c r="L14" i="6"/>
  <c r="N39" i="7"/>
  <c r="L17" i="7"/>
  <c r="M39" i="7"/>
  <c r="M15" i="8"/>
  <c r="N17" i="9"/>
  <c r="M26" i="4"/>
  <c r="N26" i="4"/>
  <c r="M17" i="9"/>
  <c r="M65" i="4"/>
  <c r="N17" i="3"/>
  <c r="L59" i="5"/>
  <c r="N59" i="5"/>
  <c r="K20" i="4"/>
  <c r="K12" i="9"/>
  <c r="N12" i="9"/>
  <c r="N42" i="8"/>
  <c r="K49" i="9"/>
  <c r="M60" i="9"/>
  <c r="L49" i="9"/>
  <c r="N49" i="9"/>
  <c r="M17" i="7"/>
  <c r="K17" i="7"/>
  <c r="L12" i="5"/>
  <c r="M12" i="5"/>
  <c r="M66" i="7"/>
  <c r="N62" i="7"/>
  <c r="K43" i="8"/>
  <c r="L43" i="8"/>
  <c r="N32" i="6"/>
  <c r="M32" i="6"/>
  <c r="L32" i="6"/>
  <c r="L13" i="5"/>
  <c r="K58" i="9"/>
  <c r="L55" i="9"/>
  <c r="N55" i="9"/>
  <c r="K55" i="9"/>
  <c r="K42" i="8"/>
  <c r="L42" i="8"/>
  <c r="K66" i="7"/>
  <c r="N66" i="7"/>
  <c r="M62" i="7"/>
  <c r="L62" i="7"/>
  <c r="L67" i="7" s="1"/>
  <c r="E18" i="20"/>
  <c r="F18" i="20" s="1"/>
  <c r="M12" i="7"/>
  <c r="M53" i="6"/>
  <c r="L55" i="6"/>
  <c r="K53" i="6"/>
  <c r="N53" i="6"/>
  <c r="L38" i="6"/>
  <c r="L67" i="5"/>
  <c r="K67" i="5"/>
  <c r="M67" i="5"/>
  <c r="M65" i="5"/>
  <c r="N67" i="5"/>
  <c r="N41" i="5"/>
  <c r="K41" i="5"/>
  <c r="M41" i="5"/>
  <c r="K40" i="4"/>
  <c r="N40" i="4"/>
  <c r="M13" i="4"/>
  <c r="M20" i="4" s="1"/>
  <c r="N13" i="4"/>
  <c r="N20" i="4" s="1"/>
  <c r="L13" i="4"/>
  <c r="L20" i="4" s="1"/>
  <c r="L68" i="3"/>
  <c r="N68" i="3"/>
  <c r="M68" i="3"/>
  <c r="N58" i="3"/>
  <c r="L58" i="3"/>
  <c r="M58" i="3"/>
  <c r="K69" i="5"/>
  <c r="N69" i="5"/>
  <c r="M69" i="5"/>
  <c r="L69" i="5"/>
  <c r="N76" i="6"/>
  <c r="N78" i="6" s="1"/>
  <c r="L76" i="6"/>
  <c r="L78" i="6" s="1"/>
  <c r="K76" i="6"/>
  <c r="K78" i="6" s="1"/>
  <c r="M78" i="6"/>
  <c r="K67" i="4"/>
  <c r="N67" i="4"/>
  <c r="M67" i="4"/>
  <c r="L67" i="4"/>
  <c r="L68" i="4" s="1"/>
  <c r="L14" i="3"/>
  <c r="L24" i="4"/>
  <c r="K24" i="4"/>
  <c r="N24" i="4"/>
  <c r="M24" i="4"/>
  <c r="V10" i="3"/>
  <c r="D3" i="20" s="1"/>
  <c r="K14" i="3"/>
  <c r="N42" i="3"/>
  <c r="K67" i="6"/>
  <c r="N67" i="6"/>
  <c r="M67" i="6"/>
  <c r="L67" i="6"/>
  <c r="M14" i="3"/>
  <c r="K65" i="3"/>
  <c r="N65" i="3"/>
  <c r="L65" i="3"/>
  <c r="L42" i="3"/>
  <c r="M42" i="3"/>
  <c r="L33" i="6"/>
  <c r="M33" i="6"/>
  <c r="N33" i="6"/>
  <c r="K58" i="3"/>
  <c r="M65" i="3"/>
  <c r="M35" i="4"/>
  <c r="N35" i="4"/>
  <c r="K35" i="4"/>
  <c r="E16" i="20"/>
  <c r="G16" i="20" s="1"/>
  <c r="K20" i="9"/>
  <c r="N20" i="9"/>
  <c r="M20" i="9"/>
  <c r="L20" i="9"/>
  <c r="K50" i="6"/>
  <c r="N50" i="6"/>
  <c r="E17" i="20"/>
  <c r="F17" i="20" s="1"/>
  <c r="N12" i="3"/>
  <c r="K12" i="3"/>
  <c r="M12" i="3"/>
  <c r="L12" i="3"/>
  <c r="E15" i="20"/>
  <c r="G15" i="20" s="1"/>
  <c r="E19" i="20"/>
  <c r="G19" i="20" s="1"/>
  <c r="K15" i="7"/>
  <c r="N15" i="7"/>
  <c r="L15" i="7"/>
  <c r="M15" i="7"/>
  <c r="N14" i="8"/>
  <c r="K14" i="8"/>
  <c r="M14" i="8"/>
  <c r="L14" i="8"/>
  <c r="E14" i="20"/>
  <c r="G14" i="20" s="1"/>
  <c r="M50" i="6"/>
  <c r="I67" i="8" l="1"/>
  <c r="I60" i="9"/>
  <c r="I70" i="5"/>
  <c r="I18" i="3"/>
  <c r="I67" i="7"/>
  <c r="I20" i="4"/>
  <c r="I13" i="8"/>
  <c r="I20" i="8" s="1"/>
  <c r="J20" i="8"/>
  <c r="I63" i="4"/>
  <c r="I68" i="4" s="1"/>
  <c r="J68" i="4"/>
  <c r="I68" i="3"/>
  <c r="I69" i="3" s="1"/>
  <c r="J69" i="3"/>
  <c r="I21" i="5"/>
  <c r="I14" i="9"/>
  <c r="I18" i="9" s="1"/>
  <c r="J18" i="9"/>
  <c r="J18" i="3"/>
  <c r="J67" i="7"/>
  <c r="I78" i="6"/>
  <c r="I31" i="9"/>
  <c r="J60" i="9"/>
  <c r="J21" i="5"/>
  <c r="I18" i="6"/>
  <c r="I18" i="7"/>
  <c r="J67" i="8"/>
  <c r="J70" i="5"/>
  <c r="J58" i="4"/>
  <c r="I57" i="7"/>
  <c r="A6" i="20"/>
  <c r="I68" i="6"/>
  <c r="J68" i="6"/>
  <c r="A3" i="20"/>
  <c r="L18" i="6"/>
  <c r="J57" i="7"/>
  <c r="A5" i="20"/>
  <c r="M18" i="6"/>
  <c r="I38" i="5"/>
  <c r="R8" i="5" s="1"/>
  <c r="U8" i="5" s="1"/>
  <c r="W8" i="5" s="1"/>
  <c r="X8" i="5" s="1"/>
  <c r="I60" i="5"/>
  <c r="J18" i="7"/>
  <c r="I38" i="4"/>
  <c r="R8" i="4" s="1"/>
  <c r="U8" i="4" s="1"/>
  <c r="W8" i="4" s="1"/>
  <c r="X8" i="4" s="1"/>
  <c r="A7" i="20"/>
  <c r="I40" i="8"/>
  <c r="C31" i="20"/>
  <c r="I50" i="9"/>
  <c r="J50" i="9"/>
  <c r="C25" i="20"/>
  <c r="J38" i="4"/>
  <c r="J78" i="6"/>
  <c r="C28" i="20"/>
  <c r="J18" i="6"/>
  <c r="K18" i="9"/>
  <c r="C29" i="20"/>
  <c r="A8" i="20"/>
  <c r="A4" i="20"/>
  <c r="D30" i="20"/>
  <c r="I57" i="8"/>
  <c r="J40" i="8"/>
  <c r="J59" i="3"/>
  <c r="J38" i="5"/>
  <c r="J31" i="9"/>
  <c r="D31" i="20"/>
  <c r="I51" i="6"/>
  <c r="R8" i="6" s="1"/>
  <c r="U8" i="6" s="1"/>
  <c r="W8" i="6" s="1"/>
  <c r="X8" i="6" s="1"/>
  <c r="A9" i="20"/>
  <c r="N18" i="6"/>
  <c r="K68" i="4"/>
  <c r="K18" i="6"/>
  <c r="D28" i="20"/>
  <c r="J51" i="6"/>
  <c r="N68" i="4"/>
  <c r="J57" i="8"/>
  <c r="L60" i="9"/>
  <c r="L40" i="3"/>
  <c r="I59" i="3"/>
  <c r="C27" i="20"/>
  <c r="K60" i="5"/>
  <c r="N18" i="7"/>
  <c r="J60" i="5"/>
  <c r="D27" i="20"/>
  <c r="K67" i="7"/>
  <c r="N60" i="9"/>
  <c r="K51" i="6"/>
  <c r="J40" i="7"/>
  <c r="J20" i="4"/>
  <c r="C30" i="20"/>
  <c r="I40" i="3"/>
  <c r="R8" i="3" s="1"/>
  <c r="U8" i="3" s="1"/>
  <c r="I40" i="7"/>
  <c r="R8" i="7" s="1"/>
  <c r="U8" i="7" s="1"/>
  <c r="W8" i="7" s="1"/>
  <c r="X8" i="7" s="1"/>
  <c r="J40" i="3"/>
  <c r="M57" i="7"/>
  <c r="D29" i="20"/>
  <c r="K21" i="5"/>
  <c r="K69" i="3"/>
  <c r="L60" i="5"/>
  <c r="M18" i="9"/>
  <c r="M21" i="5"/>
  <c r="D25" i="20"/>
  <c r="L40" i="8"/>
  <c r="K57" i="7"/>
  <c r="L57" i="7"/>
  <c r="N20" i="8"/>
  <c r="L20" i="8"/>
  <c r="M40" i="8"/>
  <c r="L67" i="8"/>
  <c r="K67" i="8"/>
  <c r="K20" i="8"/>
  <c r="M20" i="8"/>
  <c r="M67" i="8"/>
  <c r="L18" i="9"/>
  <c r="N40" i="8"/>
  <c r="K18" i="3"/>
  <c r="N38" i="5"/>
  <c r="K40" i="8"/>
  <c r="N57" i="7"/>
  <c r="L51" i="6"/>
  <c r="K70" i="5"/>
  <c r="F20" i="20"/>
  <c r="N40" i="7"/>
  <c r="K40" i="3"/>
  <c r="N40" i="3"/>
  <c r="L58" i="4"/>
  <c r="N18" i="9"/>
  <c r="L40" i="7"/>
  <c r="M58" i="4"/>
  <c r="M40" i="7"/>
  <c r="L18" i="7"/>
  <c r="K38" i="5"/>
  <c r="L69" i="3"/>
  <c r="K59" i="3"/>
  <c r="M57" i="8"/>
  <c r="L31" i="9"/>
  <c r="K50" i="9"/>
  <c r="M68" i="4"/>
  <c r="N18" i="3"/>
  <c r="N57" i="8"/>
  <c r="N50" i="9"/>
  <c r="N59" i="3"/>
  <c r="N31" i="9"/>
  <c r="M31" i="9"/>
  <c r="M59" i="3"/>
  <c r="L70" i="5"/>
  <c r="M67" i="7"/>
  <c r="L21" i="5"/>
  <c r="N70" i="5"/>
  <c r="N58" i="4"/>
  <c r="L59" i="3"/>
  <c r="M70" i="5"/>
  <c r="N67" i="7"/>
  <c r="L18" i="3"/>
  <c r="K58" i="4"/>
  <c r="K60" i="9"/>
  <c r="K31" i="9"/>
  <c r="M50" i="9"/>
  <c r="L50" i="9"/>
  <c r="K40" i="7"/>
  <c r="K57" i="8"/>
  <c r="M68" i="6"/>
  <c r="L68" i="6"/>
  <c r="K68" i="6"/>
  <c r="L57" i="8"/>
  <c r="G18" i="20"/>
  <c r="K18" i="7"/>
  <c r="M18" i="7"/>
  <c r="N68" i="6"/>
  <c r="N51" i="6"/>
  <c r="M51" i="6"/>
  <c r="N60" i="5"/>
  <c r="M60" i="5"/>
  <c r="L38" i="5"/>
  <c r="M38" i="5"/>
  <c r="L38" i="4"/>
  <c r="N69" i="3"/>
  <c r="M69" i="3"/>
  <c r="M18" i="3"/>
  <c r="M38" i="4"/>
  <c r="K38" i="4"/>
  <c r="N38" i="4"/>
  <c r="G17" i="20"/>
  <c r="F16" i="20"/>
  <c r="D10" i="20"/>
  <c r="F14" i="20"/>
  <c r="F19" i="20"/>
  <c r="F15" i="20"/>
  <c r="W8" i="3" l="1"/>
  <c r="X8" i="3" s="1"/>
  <c r="C26" i="20"/>
  <c r="R9" i="9"/>
  <c r="U9" i="9" s="1"/>
  <c r="W9" i="9" s="1"/>
  <c r="X9" i="9" s="1"/>
  <c r="E28" i="20"/>
  <c r="G28" i="20" s="1"/>
  <c r="I58" i="4"/>
  <c r="R9" i="4" s="1"/>
  <c r="U9" i="4" s="1"/>
  <c r="W9" i="4" s="1"/>
  <c r="X9" i="4" s="1"/>
  <c r="D26" i="20"/>
  <c r="E29" i="20"/>
  <c r="F29" i="20" s="1"/>
  <c r="E25" i="20"/>
  <c r="G25" i="20" s="1"/>
  <c r="R9" i="5"/>
  <c r="U9" i="5" s="1"/>
  <c r="W9" i="5" s="1"/>
  <c r="X9" i="5" s="1"/>
  <c r="E31" i="20"/>
  <c r="G31" i="20" s="1"/>
  <c r="E27" i="20"/>
  <c r="G27" i="20" s="1"/>
  <c r="R9" i="8"/>
  <c r="U9" i="8" s="1"/>
  <c r="W9" i="8" s="1"/>
  <c r="X9" i="8" s="1"/>
  <c r="R9" i="6"/>
  <c r="U9" i="6" s="1"/>
  <c r="W9" i="6" s="1"/>
  <c r="X9" i="6" s="1"/>
  <c r="E30" i="20"/>
  <c r="G30" i="20" s="1"/>
  <c r="K69" i="6"/>
  <c r="B8" i="10" s="1"/>
  <c r="R9" i="3"/>
  <c r="U9" i="3" s="1"/>
  <c r="W9" i="3" s="1"/>
  <c r="X9" i="3" s="1"/>
  <c r="R9" i="7"/>
  <c r="U9" i="7" s="1"/>
  <c r="W9" i="7" s="1"/>
  <c r="X9" i="7" s="1"/>
  <c r="K61" i="5"/>
  <c r="B7" i="10" s="1"/>
  <c r="N61" i="5"/>
  <c r="E7" i="10" s="1"/>
  <c r="M58" i="8"/>
  <c r="D10" i="10" s="1"/>
  <c r="L58" i="8"/>
  <c r="C10" i="10" s="1"/>
  <c r="N58" i="8"/>
  <c r="E10" i="10" s="1"/>
  <c r="K58" i="8"/>
  <c r="B10" i="10" s="1"/>
  <c r="N58" i="7"/>
  <c r="E9" i="10" s="1"/>
  <c r="L69" i="6"/>
  <c r="C8" i="10" s="1"/>
  <c r="K51" i="9"/>
  <c r="B11" i="10" s="1"/>
  <c r="K60" i="3"/>
  <c r="B5" i="10" s="1"/>
  <c r="M59" i="4"/>
  <c r="D6" i="10" s="1"/>
  <c r="L59" i="4"/>
  <c r="C6" i="10" s="1"/>
  <c r="L58" i="7"/>
  <c r="C9" i="10" s="1"/>
  <c r="M58" i="7"/>
  <c r="D9" i="10" s="1"/>
  <c r="L51" i="9"/>
  <c r="C11" i="10" s="1"/>
  <c r="N59" i="4"/>
  <c r="E6" i="10" s="1"/>
  <c r="N60" i="3"/>
  <c r="E5" i="10" s="1"/>
  <c r="M51" i="9"/>
  <c r="D11" i="10" s="1"/>
  <c r="N51" i="9"/>
  <c r="E11" i="10" s="1"/>
  <c r="L61" i="5"/>
  <c r="C7" i="10" s="1"/>
  <c r="G21" i="20"/>
  <c r="M60" i="3"/>
  <c r="D5" i="10" s="1"/>
  <c r="L60" i="3"/>
  <c r="C5" i="10" s="1"/>
  <c r="M69" i="6"/>
  <c r="D8" i="10" s="1"/>
  <c r="K59" i="4"/>
  <c r="B6" i="10" s="1"/>
  <c r="K58" i="7"/>
  <c r="B9" i="10" s="1"/>
  <c r="M61" i="5"/>
  <c r="D7" i="10" s="1"/>
  <c r="N69" i="6"/>
  <c r="E8" i="10" s="1"/>
  <c r="F21" i="20"/>
  <c r="U10" i="3" l="1"/>
  <c r="C3" i="20" s="1"/>
  <c r="F3" i="20" s="1"/>
  <c r="E26" i="20"/>
  <c r="G26" i="20" s="1"/>
  <c r="U10" i="9"/>
  <c r="C9" i="20" s="1"/>
  <c r="E9" i="20" s="1"/>
  <c r="F28" i="20"/>
  <c r="G29" i="20"/>
  <c r="U10" i="4"/>
  <c r="C4" i="20" s="1"/>
  <c r="F4" i="20" s="1"/>
  <c r="F25" i="20"/>
  <c r="U10" i="5"/>
  <c r="W10" i="5" s="1"/>
  <c r="X10" i="5" s="1"/>
  <c r="F31" i="20"/>
  <c r="F27" i="20"/>
  <c r="U10" i="8"/>
  <c r="C8" i="20" s="1"/>
  <c r="E8" i="20" s="1"/>
  <c r="U10" i="6"/>
  <c r="W10" i="6" s="1"/>
  <c r="X10" i="6" s="1"/>
  <c r="F30" i="20"/>
  <c r="U10" i="7"/>
  <c r="C7" i="20" s="1"/>
  <c r="E7" i="20" s="1"/>
  <c r="C12" i="10"/>
  <c r="E12" i="10"/>
  <c r="D12" i="10"/>
  <c r="B12" i="10"/>
  <c r="F26" i="20" l="1"/>
  <c r="F32" i="20" s="1"/>
  <c r="G32" i="20"/>
  <c r="F9" i="20"/>
  <c r="W10" i="9"/>
  <c r="X10" i="9" s="1"/>
  <c r="W10" i="4"/>
  <c r="X10" i="4" s="1"/>
  <c r="E4" i="20"/>
  <c r="C5" i="20"/>
  <c r="F5" i="20" s="1"/>
  <c r="W10" i="8"/>
  <c r="X10" i="8" s="1"/>
  <c r="F8" i="20"/>
  <c r="W10" i="3"/>
  <c r="X10" i="3" s="1"/>
  <c r="C6" i="20"/>
  <c r="E6" i="20" s="1"/>
  <c r="E3" i="20"/>
  <c r="F7" i="20"/>
  <c r="W10" i="7"/>
  <c r="X10" i="7" s="1"/>
  <c r="E5" i="20" l="1"/>
  <c r="E10" i="20" s="1"/>
  <c r="C10" i="20"/>
  <c r="F10" i="20" s="1"/>
  <c r="F6" i="20"/>
</calcChain>
</file>

<file path=xl/sharedStrings.xml><?xml version="1.0" encoding="utf-8"?>
<sst xmlns="http://schemas.openxmlformats.org/spreadsheetml/2006/main" count="12447" uniqueCount="2344">
  <si>
    <t>V000017</t>
  </si>
  <si>
    <t>ALCAPARRA</t>
  </si>
  <si>
    <t>LUNES</t>
  </si>
  <si>
    <t>MARTES</t>
  </si>
  <si>
    <t>MIÉRCOLES</t>
  </si>
  <si>
    <t>JUEVES</t>
  </si>
  <si>
    <t>VIERNES</t>
  </si>
  <si>
    <t>SÁBADO</t>
  </si>
  <si>
    <t>DOMINGO</t>
  </si>
  <si>
    <t xml:space="preserve"> </t>
  </si>
  <si>
    <t>TE</t>
  </si>
  <si>
    <t>ARROZ</t>
  </si>
  <si>
    <t>MAIZENA</t>
  </si>
  <si>
    <t>PAN</t>
  </si>
  <si>
    <t>PEREJIL</t>
  </si>
  <si>
    <t>KG</t>
  </si>
  <si>
    <t>ZAPALLO</t>
  </si>
  <si>
    <t>DESCRIPCION</t>
  </si>
  <si>
    <t>U/E</t>
  </si>
  <si>
    <t>V.UNITARIO</t>
  </si>
  <si>
    <t>V.TOTAL</t>
  </si>
  <si>
    <t>ALMUERZO</t>
  </si>
  <si>
    <t>VIENESAS</t>
  </si>
  <si>
    <t>CENA</t>
  </si>
  <si>
    <t>MIERCOLES</t>
  </si>
  <si>
    <t>MOSTAZA</t>
  </si>
  <si>
    <t>SABADO</t>
  </si>
  <si>
    <t>PASAS</t>
  </si>
  <si>
    <t>AJI EN PASTA</t>
  </si>
  <si>
    <t>TOTAL</t>
  </si>
  <si>
    <t>PRODUCTO</t>
  </si>
  <si>
    <t>PRECIO</t>
  </si>
  <si>
    <t>N</t>
  </si>
  <si>
    <t>CREMA NESTLE</t>
  </si>
  <si>
    <t>FIDEOS MOSTACHOLIS</t>
  </si>
  <si>
    <t>FIDEOS TALLARINES</t>
  </si>
  <si>
    <t>FREJOLES</t>
  </si>
  <si>
    <t>LENTEJAS</t>
  </si>
  <si>
    <t>OREGANO</t>
  </si>
  <si>
    <t>QUESO RALLADO</t>
  </si>
  <si>
    <t>FIDEOS ESPIRALES</t>
  </si>
  <si>
    <t>SALSA SOYA</t>
  </si>
  <si>
    <t>DESAYUNO</t>
  </si>
  <si>
    <t>CALORÍAS</t>
  </si>
  <si>
    <t>PROTEÍNAS</t>
  </si>
  <si>
    <t>V. P/P</t>
  </si>
  <si>
    <t>DÍAS</t>
  </si>
  <si>
    <t>INGREDIENTE</t>
  </si>
  <si>
    <t>NSN</t>
  </si>
  <si>
    <t>V000004</t>
  </si>
  <si>
    <t>V000006</t>
  </si>
  <si>
    <t>AJI COLOR</t>
  </si>
  <si>
    <t>V000009</t>
  </si>
  <si>
    <t>C002832</t>
  </si>
  <si>
    <t>C</t>
  </si>
  <si>
    <t>C000816</t>
  </si>
  <si>
    <t>CEBOLLAS FRESCAS</t>
  </si>
  <si>
    <t>C000249</t>
  </si>
  <si>
    <t>C000359</t>
  </si>
  <si>
    <t>C006637</t>
  </si>
  <si>
    <t>C000342</t>
  </si>
  <si>
    <t>C000361</t>
  </si>
  <si>
    <t>C000196</t>
  </si>
  <si>
    <t>C000367</t>
  </si>
  <si>
    <t>C000193</t>
  </si>
  <si>
    <t>MANZANA VERDE</t>
  </si>
  <si>
    <t>MOTE</t>
  </si>
  <si>
    <t>C000801</t>
  </si>
  <si>
    <t>V000222</t>
  </si>
  <si>
    <t>C008040</t>
  </si>
  <si>
    <t>V000231</t>
  </si>
  <si>
    <t>V000277</t>
  </si>
  <si>
    <t>REFRESCO NARANJA</t>
  </si>
  <si>
    <t>REFRESCO PIÑA</t>
  </si>
  <si>
    <t>C000528</t>
  </si>
  <si>
    <t>C000827</t>
  </si>
  <si>
    <t>C902473</t>
  </si>
  <si>
    <t>C902472</t>
  </si>
  <si>
    <t>C000010</t>
  </si>
  <si>
    <t>V000332</t>
  </si>
  <si>
    <t>ORIGEN</t>
  </si>
  <si>
    <t>MORRON ROJO</t>
  </si>
  <si>
    <t>V000300</t>
  </si>
  <si>
    <t>V000018</t>
  </si>
  <si>
    <t>TOMATES NATURAL</t>
  </si>
  <si>
    <t>V000317</t>
  </si>
  <si>
    <t>V000010</t>
  </si>
  <si>
    <t>V000324</t>
  </si>
  <si>
    <t>MANZANA NATURAL</t>
  </si>
  <si>
    <t>PLATANOS</t>
  </si>
  <si>
    <t>V000244</t>
  </si>
  <si>
    <t>CANTIDAD (KG) P/P</t>
  </si>
  <si>
    <t>V000014</t>
  </si>
  <si>
    <t>DURAZNO NATURAL</t>
  </si>
  <si>
    <t>CÓDIGO</t>
  </si>
  <si>
    <t xml:space="preserve">PROMEDIO </t>
  </si>
  <si>
    <t>BAVAROIS FRAMBUESA</t>
  </si>
  <si>
    <t>POLLO TRUTRO CORTO</t>
  </si>
  <si>
    <t>C008044</t>
  </si>
  <si>
    <t>C008043</t>
  </si>
  <si>
    <t>QUESO GAUDA LAMINADO</t>
  </si>
  <si>
    <t>NOTA 1:</t>
  </si>
  <si>
    <t>NOTA 2:</t>
  </si>
  <si>
    <t>CANTIDAD TOTAL KG</t>
  </si>
  <si>
    <t>GARBANZOS</t>
  </si>
  <si>
    <t>C902630</t>
  </si>
  <si>
    <t>NOTA 3:</t>
  </si>
  <si>
    <t>AT 640 gr</t>
  </si>
  <si>
    <t>TA 400 gr</t>
  </si>
  <si>
    <t>NR 50 gr</t>
  </si>
  <si>
    <t>PQ 250 gr</t>
  </si>
  <si>
    <t>NR</t>
  </si>
  <si>
    <t>NR 130 gr, 110,5</t>
  </si>
  <si>
    <t>NR 200 gr</t>
  </si>
  <si>
    <t>BT 500 cc</t>
  </si>
  <si>
    <t>NOTA 4:</t>
  </si>
  <si>
    <t>LA FRUTA MANZANA DEBE SER VARIEDAD FUJI O VERDE GRANNY SMITH Y NO DEBEN SER PELADAS.</t>
  </si>
  <si>
    <t>VARIEDAD FUJI</t>
  </si>
  <si>
    <t>VARIEDAD GRANNY SMITH</t>
  </si>
  <si>
    <t>KIWI NATURAL</t>
  </si>
  <si>
    <t>V000230</t>
  </si>
  <si>
    <t>PERAS NATURALES</t>
  </si>
  <si>
    <t>NOTA 5:</t>
  </si>
  <si>
    <t>ACEITUNAS</t>
  </si>
  <si>
    <t>ACELGA NATURAL</t>
  </si>
  <si>
    <t>NOTA 6:</t>
  </si>
  <si>
    <t>NOTA 7:</t>
  </si>
  <si>
    <t>VALOR REAL</t>
  </si>
  <si>
    <t>VALOR TEORICO</t>
  </si>
  <si>
    <t xml:space="preserve">CANTIDADES </t>
  </si>
  <si>
    <t xml:space="preserve">TOTAL REAL </t>
  </si>
  <si>
    <t>TOTAL TEORICO</t>
  </si>
  <si>
    <t>SUPERAVIT O DEFICIT</t>
  </si>
  <si>
    <t>% SUP O DEF</t>
  </si>
  <si>
    <t>RACIÓN COMPLETA</t>
  </si>
  <si>
    <t>DÍA</t>
  </si>
  <si>
    <t>V000037</t>
  </si>
  <si>
    <t>BROCOLI FRESCO</t>
  </si>
  <si>
    <t>NR 1000 gr</t>
  </si>
  <si>
    <t>COLIFLORES NATURAL</t>
  </si>
  <si>
    <t>NOTA 8:</t>
  </si>
  <si>
    <t>NOTA 9:</t>
  </si>
  <si>
    <t>NOTA 10:</t>
  </si>
  <si>
    <t>NOTA 11:</t>
  </si>
  <si>
    <t>NOTA 12:</t>
  </si>
  <si>
    <t>NOTA 13:</t>
  </si>
  <si>
    <t>C902637</t>
  </si>
  <si>
    <t>AJOS FRESCO</t>
  </si>
  <si>
    <t>BAVAROIS LIMÓN</t>
  </si>
  <si>
    <t>C902638</t>
  </si>
  <si>
    <t>FRUTILLA NATURAL</t>
  </si>
  <si>
    <t>HUEVOS</t>
  </si>
  <si>
    <t>JUGO INDIVIDUAL</t>
  </si>
  <si>
    <t>NARANJAS NATURAL</t>
  </si>
  <si>
    <t>PALTA NATURAL</t>
  </si>
  <si>
    <t>V000217</t>
  </si>
  <si>
    <t>PEPINOS DE ENSALADA</t>
  </si>
  <si>
    <t>V000229</t>
  </si>
  <si>
    <t>QUESILLO</t>
  </si>
  <si>
    <t>V000262</t>
  </si>
  <si>
    <t>SANDIA NATURAL</t>
  </si>
  <si>
    <t>V000301</t>
  </si>
  <si>
    <t>UVAS</t>
  </si>
  <si>
    <t>V000320</t>
  </si>
  <si>
    <t>VINAGRE</t>
  </si>
  <si>
    <t>V000453</t>
  </si>
  <si>
    <t>YOGURT LIGHT</t>
  </si>
  <si>
    <t>LT.</t>
  </si>
  <si>
    <t>EA</t>
  </si>
  <si>
    <t>1 NR = 200 CC</t>
  </si>
  <si>
    <t>1 TA = 800 GRAMOS = 500 GRAMOS DRENADO</t>
  </si>
  <si>
    <t>1 NR = 320 GRAMOS</t>
  </si>
  <si>
    <r>
      <t xml:space="preserve">1 NR </t>
    </r>
    <r>
      <rPr>
        <sz val="10"/>
        <rFont val="Calibri"/>
        <family val="2"/>
      </rPr>
      <t>≈</t>
    </r>
    <r>
      <rPr>
        <sz val="10"/>
        <rFont val="Arial Narrow"/>
        <family val="2"/>
      </rPr>
      <t xml:space="preserve">  4,0 KILOS</t>
    </r>
  </si>
  <si>
    <t>GASTO DIARIO</t>
  </si>
  <si>
    <t>GASTO TEORICO</t>
  </si>
  <si>
    <t>DIFERENCIA</t>
  </si>
  <si>
    <t>% DISPONIBILIDAD</t>
  </si>
  <si>
    <t>TOTAL SEMANAL</t>
  </si>
  <si>
    <t>NOTA 14:</t>
  </si>
  <si>
    <t>NUECES</t>
  </si>
  <si>
    <t>NOTA 15:</t>
  </si>
  <si>
    <t>C902735</t>
  </si>
  <si>
    <t>AZUCAR FLOR</t>
  </si>
  <si>
    <t>HABAS CONGELADAS</t>
  </si>
  <si>
    <t>COLIFLOR CONGELADO</t>
  </si>
  <si>
    <t>C902737</t>
  </si>
  <si>
    <t>POLLO TRUTRO ENTERO</t>
  </si>
  <si>
    <t>C902736</t>
  </si>
  <si>
    <t>APIO</t>
  </si>
  <si>
    <t>V000335</t>
  </si>
  <si>
    <t>ATUN LOMITO AL AGUA 1 KG</t>
  </si>
  <si>
    <t>C902758</t>
  </si>
  <si>
    <t>V000034</t>
  </si>
  <si>
    <t>C000523</t>
  </si>
  <si>
    <t>CEBOLLIN</t>
  </si>
  <si>
    <t>V000337</t>
  </si>
  <si>
    <t>LECHUGA ESCAROLA</t>
  </si>
  <si>
    <t>PESCADO COJINOVA</t>
  </si>
  <si>
    <t>C902839</t>
  </si>
  <si>
    <t>ZANAHORIA</t>
  </si>
  <si>
    <t>V000330</t>
  </si>
  <si>
    <t>V000333</t>
  </si>
  <si>
    <t>AT</t>
  </si>
  <si>
    <r>
      <t xml:space="preserve">1 AT </t>
    </r>
    <r>
      <rPr>
        <sz val="10"/>
        <rFont val="Calibri"/>
        <family val="2"/>
      </rPr>
      <t>≈</t>
    </r>
    <r>
      <rPr>
        <sz val="10"/>
        <rFont val="Arial Narrow"/>
        <family val="2"/>
      </rPr>
      <t xml:space="preserve"> 8 UNIDADES </t>
    </r>
    <r>
      <rPr>
        <sz val="10"/>
        <rFont val="Calibri"/>
        <family val="2"/>
      </rPr>
      <t>≈</t>
    </r>
    <r>
      <rPr>
        <sz val="10"/>
        <rFont val="Arial Narrow"/>
        <family val="2"/>
      </rPr>
      <t xml:space="preserve"> 1 KILO</t>
    </r>
  </si>
  <si>
    <r>
      <t xml:space="preserve">1 NR </t>
    </r>
    <r>
      <rPr>
        <sz val="10"/>
        <rFont val="Calibri"/>
        <family val="2"/>
      </rPr>
      <t>≈</t>
    </r>
    <r>
      <rPr>
        <sz val="10"/>
        <rFont val="Arial Narrow"/>
        <family val="2"/>
      </rPr>
      <t xml:space="preserve"> 3 UNIDADES </t>
    </r>
    <r>
      <rPr>
        <sz val="10"/>
        <rFont val="Calibri"/>
        <family val="2"/>
      </rPr>
      <t>≈</t>
    </r>
    <r>
      <rPr>
        <sz val="10"/>
        <rFont val="Arial Narrow"/>
        <family val="2"/>
      </rPr>
      <t xml:space="preserve"> 400 GRAMOS</t>
    </r>
  </si>
  <si>
    <t>1 TA = 400 GRAMOS = 230 GRAMOS DRENADO</t>
  </si>
  <si>
    <r>
      <t xml:space="preserve">1 NR </t>
    </r>
    <r>
      <rPr>
        <sz val="10"/>
        <rFont val="Calibri"/>
        <family val="2"/>
      </rPr>
      <t>≈</t>
    </r>
    <r>
      <rPr>
        <sz val="7"/>
        <rFont val="Arial Narrow"/>
        <family val="2"/>
      </rPr>
      <t xml:space="preserve"> </t>
    </r>
    <r>
      <rPr>
        <sz val="10"/>
        <rFont val="Calibri"/>
        <family val="2"/>
      </rPr>
      <t>250 GRAMOS</t>
    </r>
  </si>
  <si>
    <t>LÍPIDOS</t>
  </si>
  <si>
    <t>CHO</t>
  </si>
  <si>
    <t>EECC DANIELA PALMA C., LLICO: 4139, EMAIL: DPALMA@ARMADA.CL</t>
  </si>
  <si>
    <t>JAMÓN DEBE SER DE PREFERENCIA COCIDO DE PAVO O POLLO. MARGARINA 0% TRANS.</t>
  </si>
  <si>
    <t>A MEDIDA QUE SE PUBLIQUEN NUEVOS BOLETINES DE PRECIOS, ESTOS DEBEN SER ACTUALIZADOS EN HOJA DE CALCULO "CÓDIGOS", AL IGUAL QUE VALOR MEDIA RACIÓN Y RACIÓN COMPLETA, LOS CUALES DEBEN SER INGRESADOS EN CELDA "N22" Y "N23" RESPECTIVAMENTE. EN BASE AL PORCENTAJE DE DISPONIBILIDAD QUE SE GENERE, SE DEBEN IR AJUSTANDO LOS GRAMAJES.</t>
  </si>
  <si>
    <t>ONCES Y COLACIONES PUEDEN SER INCLUIDAS DENTRO DEL MENÚ SIEMPRE Y CUANDO LAS DISPONIBILIDADES LO PERMITAN.</t>
  </si>
  <si>
    <t>VÍVERES DETALLADOS EN MENÚ SON SUJETOS A DISPONIBILIDADES Y A STOCK EN CENTROS DE ABASTECIMIENTO.</t>
  </si>
  <si>
    <t>PARA LAS PREPARACIONES QUE REQUIERAN FREIRSE (EMPANADA QUESO - PAPAS FRITAS), SE DEBE UTILIZAR ACEITE DISEÑADO ESPECIALMENTE PARA FREIR Y NO ACEITE DE CANOLA. (EJEMPLO: FRITOMASTER WATT'S - FRIT MASTER MARTINI)</t>
  </si>
  <si>
    <t>TA(240 g)</t>
  </si>
  <si>
    <t>CONFECCIÓN PAN</t>
  </si>
  <si>
    <t>ENELDO</t>
  </si>
  <si>
    <t>CIBOULETTE</t>
  </si>
  <si>
    <t>PAN (50 GRAMOS)</t>
  </si>
  <si>
    <t>C902867</t>
  </si>
  <si>
    <t>BG 900 g</t>
  </si>
  <si>
    <t>C902869</t>
  </si>
  <si>
    <t>BT 500cc</t>
  </si>
  <si>
    <r>
      <t xml:space="preserve">1 NR </t>
    </r>
    <r>
      <rPr>
        <sz val="10"/>
        <rFont val="Calibri"/>
        <family val="2"/>
      </rPr>
      <t>≈</t>
    </r>
    <r>
      <rPr>
        <sz val="7"/>
        <rFont val="Arial Narrow"/>
        <family val="2"/>
      </rPr>
      <t xml:space="preserve"> </t>
    </r>
    <r>
      <rPr>
        <sz val="10"/>
        <rFont val="Arial Narrow"/>
        <family val="2"/>
      </rPr>
      <t>10 GRAMOS</t>
    </r>
  </si>
  <si>
    <t>NR (10 g)</t>
  </si>
  <si>
    <t>ESTRAGÓN</t>
  </si>
  <si>
    <t>TOMILLO</t>
  </si>
  <si>
    <t>SB (5 g)</t>
  </si>
  <si>
    <t>VAINILLA</t>
  </si>
  <si>
    <t>V000323</t>
  </si>
  <si>
    <t>BT (100 cc)</t>
  </si>
  <si>
    <t>NR (400 g)</t>
  </si>
  <si>
    <t>MIEL DE ABEJA</t>
  </si>
  <si>
    <t>PIMENTÓN NATURAL</t>
  </si>
  <si>
    <t>V000236</t>
  </si>
  <si>
    <t>NR (130 g)</t>
  </si>
  <si>
    <t>CHORIZO</t>
  </si>
  <si>
    <t>CANELA MOLIDA FRASCO</t>
  </si>
  <si>
    <t>V000049</t>
  </si>
  <si>
    <t>FR 18 g</t>
  </si>
  <si>
    <t>LAUREL</t>
  </si>
  <si>
    <r>
      <t xml:space="preserve">1 FQ </t>
    </r>
    <r>
      <rPr>
        <sz val="10"/>
        <rFont val="Calibri"/>
        <family val="2"/>
      </rPr>
      <t>≈</t>
    </r>
    <r>
      <rPr>
        <sz val="7"/>
        <rFont val="Arial Narrow"/>
        <family val="2"/>
      </rPr>
      <t xml:space="preserve"> 27</t>
    </r>
    <r>
      <rPr>
        <sz val="10"/>
        <rFont val="Arial Narrow"/>
        <family val="2"/>
      </rPr>
      <t xml:space="preserve"> GRAMOS</t>
    </r>
  </si>
  <si>
    <t>SB 8 g</t>
  </si>
  <si>
    <t>NR (650 g)</t>
  </si>
  <si>
    <t>BT (500 cc)</t>
  </si>
  <si>
    <r>
      <t xml:space="preserve">1 NR </t>
    </r>
    <r>
      <rPr>
        <sz val="10"/>
        <rFont val="Calibri"/>
        <family val="2"/>
      </rPr>
      <t>= 125 ML</t>
    </r>
  </si>
  <si>
    <t>NR (125 g)</t>
  </si>
  <si>
    <t>JAMÓN DE PAVO</t>
  </si>
  <si>
    <t>SB. 1000 gr</t>
  </si>
  <si>
    <t>NR 35 g</t>
  </si>
  <si>
    <t>CANELA ENTERA</t>
  </si>
  <si>
    <t>V000048</t>
  </si>
  <si>
    <t>PQ (15 g)</t>
  </si>
  <si>
    <t>NR (320 g)</t>
  </si>
  <si>
    <t>NR (250 g)</t>
  </si>
  <si>
    <t>TA (750 g)</t>
  </si>
  <si>
    <t>C902686</t>
  </si>
  <si>
    <t>TÉ EN BOLSITA (CA 150 BOLSITAS)</t>
  </si>
  <si>
    <t>C902891</t>
  </si>
  <si>
    <t>BX</t>
  </si>
  <si>
    <t>PESTO</t>
  </si>
  <si>
    <t>V000233</t>
  </si>
  <si>
    <t>TA (800 g)</t>
  </si>
  <si>
    <t>500 cc</t>
  </si>
  <si>
    <t>MANJAR</t>
  </si>
  <si>
    <t>LEVADURA INSTANTANEA</t>
  </si>
  <si>
    <t>LOS CORTES DE CARNE DE VACUNO Y TIPOS DE FIDEOS, PUEDEN SER VARIADOS DE ACUERDO A EXISTENCIAS Y A DISPONIBILIDADES.</t>
  </si>
  <si>
    <t>LA FRUTA CORRESPONDIENTE AL POSTRE, DEBE CUBRIRSE CON PAPEL ALUSA, OBJETO ESTA NO SE TORNE COLOR CAFÉ.</t>
  </si>
  <si>
    <t>MANI</t>
  </si>
  <si>
    <t>V000188</t>
  </si>
  <si>
    <t>C902529</t>
  </si>
  <si>
    <t>PREPARACION: 2 G CON 10 ML LECHE</t>
  </si>
  <si>
    <t>C903008</t>
  </si>
  <si>
    <t>NR 250 GR</t>
  </si>
  <si>
    <t xml:space="preserve">PARA LA PREPARACION DE CHORILLANA, NINGUNO DE LOS INGREDIENTES DEBE IR FRITO, SINO QUE AL HORNO, SOFRITAS EN AGUA, AL VAPOR O CACEROLA. </t>
  </si>
  <si>
    <t>PQTE (200 g)</t>
  </si>
  <si>
    <t>SV0000219</t>
  </si>
  <si>
    <t>LT</t>
  </si>
  <si>
    <t>SALSA CONCENTRADA DE TOMATE CON SOYA</t>
  </si>
  <si>
    <t>C902764</t>
  </si>
  <si>
    <t>GL 3 KG</t>
  </si>
  <si>
    <t>TA 400 g</t>
  </si>
  <si>
    <t>TA 397 g</t>
  </si>
  <si>
    <t>SI EL PROTEICO, EJEMPLO "QUESILLO", NO ESTA DISPONIBLE EN COMERCIO LOCAL, DEBE SER REEMPLAZADO POR OTRO PROTEICO DE SIMILAR VALOR MONETARIO. PROTEICOS QUE SE CONSIDERAN SON: PALTA - PALMITOS - CHAMPIÑONES - QUESILLO - JAMON DE PAVO - FONDOS DE ALCACHOFA - CHORITOS EN CONSERVA - ESPÁRRAGOS - NIDO DE POLLO.</t>
  </si>
  <si>
    <t>FRUTAS Y VERDURAS, PUEDEN SER CAMBIADAS EN BASE A SU ESTACIONALIDAD Y AUMENTADAS EN GRAMAJE O INCLUIDAS EN PREPARACIONES DE ACUERDO A DISPONIBILIDADES.</t>
  </si>
  <si>
    <t>CALORÍAS Y MACRONUTRIENTES MENÚ COMÚN</t>
  </si>
  <si>
    <t>Nutricionista</t>
  </si>
  <si>
    <t>Administración de Contratos y Control de Calidad</t>
  </si>
  <si>
    <t>DIRECABAS</t>
  </si>
  <si>
    <t>NOTAS EXPLICATIVAS DEL MENÚ SALUDABLE</t>
  </si>
  <si>
    <t>LOS EJERCICIOS ALMUERZO Y CENA, CONSIDERAN UN PAN DE 50 GRAMOS CADA UNO Y DESAYUNO CONSIDERA PAN DE 100 GRAMOS. AQUELLAS REPARTICIONES QUE NO CONFECCIONEN PAN A BORDO, DEBERÁN AJUSTAR EL GRAMAJE DE LOS INGREDIENTES DEL MENÚ DE ACUERDO A LAS DISPONIBILIDADES. PARA EL MENÚ HIPOCALÓRICO NO SE CONSIDERA PORCIÓN DE PAN PARA ALMUERZO Y CENA.</t>
  </si>
  <si>
    <t>C903059</t>
  </si>
  <si>
    <t>ARVEJAS PARTIDAS</t>
  </si>
  <si>
    <t>PESCADO REINETA</t>
  </si>
  <si>
    <t>C000087</t>
  </si>
  <si>
    <t>V000899</t>
  </si>
  <si>
    <t>GL</t>
  </si>
  <si>
    <t>C903242</t>
  </si>
  <si>
    <t>C903236</t>
  </si>
  <si>
    <t>C903235</t>
  </si>
  <si>
    <t>C903238</t>
  </si>
  <si>
    <t>C903241</t>
  </si>
  <si>
    <t>C902882</t>
  </si>
  <si>
    <t>PZ 360 GR</t>
  </si>
  <si>
    <t>C903239</t>
  </si>
  <si>
    <t>600 GR</t>
  </si>
  <si>
    <t>PIÑA EN CONSERVA</t>
  </si>
  <si>
    <t>C903237</t>
  </si>
  <si>
    <t>FLAN DE VAINILLA</t>
  </si>
  <si>
    <t>C902845</t>
  </si>
  <si>
    <t>C902846</t>
  </si>
  <si>
    <t>C902848</t>
  </si>
  <si>
    <t>C902847</t>
  </si>
  <si>
    <t>C902849</t>
  </si>
  <si>
    <t>C902851</t>
  </si>
  <si>
    <t>FLAN C/LECHE S/CHOCOLATE</t>
  </si>
  <si>
    <t>POSTRE GELATINA EN POLVO FRAMBUESA</t>
  </si>
  <si>
    <t>POSTRE GELATINA EN POLVO NARANJA</t>
  </si>
  <si>
    <t>HASTA AGOTAR STOCK</t>
  </si>
  <si>
    <t>C902854</t>
  </si>
  <si>
    <t>C902855</t>
  </si>
  <si>
    <t>C902418</t>
  </si>
  <si>
    <t>REFRESCO FRAMBUESA</t>
  </si>
  <si>
    <t>C902857</t>
  </si>
  <si>
    <t>C902859</t>
  </si>
  <si>
    <t>C902860</t>
  </si>
  <si>
    <t>SALSA DE TOMATES</t>
  </si>
  <si>
    <t>C902533</t>
  </si>
  <si>
    <t>SOPA CARACOLITOS</t>
  </si>
  <si>
    <t>C902861</t>
  </si>
  <si>
    <t>SOPA CARNE CON VERDURAS</t>
  </si>
  <si>
    <t>SOPA CARNE CON ARROZ</t>
  </si>
  <si>
    <t>C902862</t>
  </si>
  <si>
    <t>C902864</t>
  </si>
  <si>
    <t>C902863</t>
  </si>
  <si>
    <t>C902865</t>
  </si>
  <si>
    <t>C902866</t>
  </si>
  <si>
    <t>C903292</t>
  </si>
  <si>
    <t>PRIMAVERA CONGELADA</t>
  </si>
  <si>
    <t>C902685</t>
  </si>
  <si>
    <t>C903293</t>
  </si>
  <si>
    <t>TACOS</t>
  </si>
  <si>
    <t>V000573</t>
  </si>
  <si>
    <t>FR 125 G</t>
  </si>
  <si>
    <t>POUCH POLLO</t>
  </si>
  <si>
    <t>C903264</t>
  </si>
  <si>
    <t>POUCH CERDO</t>
  </si>
  <si>
    <t>C903265</t>
  </si>
  <si>
    <t>POUCH MOLIDA VACUNO</t>
  </si>
  <si>
    <t>C903266</t>
  </si>
  <si>
    <t>POUCH VACUNO CUBO</t>
  </si>
  <si>
    <t>C903267</t>
  </si>
  <si>
    <t>PALMITOS 800 G</t>
  </si>
  <si>
    <t>C903327</t>
  </si>
  <si>
    <t>C903328</t>
  </si>
  <si>
    <t>POLLO PECHUGA DESHUESADA</t>
  </si>
  <si>
    <t>C903329</t>
  </si>
  <si>
    <t>PESCADO MERLUZA AUSTRAL</t>
  </si>
  <si>
    <t>C903330</t>
  </si>
  <si>
    <t>C903331</t>
  </si>
  <si>
    <t>BOLSA 400 G</t>
  </si>
  <si>
    <t>EN ATENCIÓN A LAS DISTINTAS CIRCUNTANCIAS EN QUE EL PERSONAL DESARROLLA LAS ACTIVIDADES DIARIAS QUE LA INSTITUCIÓN LE IMPONE Y EN CONFORMIDAD A LOS BENEFICIOS QUE OTORGA EL MABA N° 8/48-3 TRAT. 3, CAP. 02, ART, 30211 "DETERMINACIÓN DE LAS DISPONIBILIDADES DE ALIMENTACIÓN". LAS UU.RR., PODRÁN AUMENTAR LOS GRAMAJES Y/O ADICIONAR INGREDIENTES DE BUENA CALIDAD A LAS PREPARACIONES DEL MENÚ SALUDABLE, SIN ALTERAR SU BASE ORIGINAL.</t>
  </si>
  <si>
    <t>CHAMPIÑON 400 G</t>
  </si>
  <si>
    <t>C903333</t>
  </si>
  <si>
    <t>C903337</t>
  </si>
  <si>
    <t>VACUNO BISTEC</t>
  </si>
  <si>
    <t>C903240</t>
  </si>
  <si>
    <t>CILANTRO</t>
  </si>
  <si>
    <t>V001129</t>
  </si>
  <si>
    <t>NOTA 16:</t>
  </si>
  <si>
    <t>TODO EL PERSONAL QUE LO DESEE PUEDE OPTAR A LA OPCIÓN DE MENÚ HIPOCALÓRICO (SIN NECESIDAD DE PRESENTAR CERTIFICADO MÉDICO O DE NUTRICIONISTA) DEBE AVISAR DE SU CAMBIO CON LA RESPECTIVA ANTICIPACIÓN QUE DISPONGA EL OFABAS O 2° COMANDANTE DE CADA REPARTICIÓN.</t>
  </si>
  <si>
    <t>ACEITE OLIVA 500 ML</t>
  </si>
  <si>
    <t>ACEITE DE OLIVA</t>
  </si>
  <si>
    <t>C902841</t>
  </si>
  <si>
    <t>C000009</t>
  </si>
  <si>
    <t>VACUNO POLLO GANSO</t>
  </si>
  <si>
    <t>VACUNO POSTA PALETA</t>
  </si>
  <si>
    <t>C903343</t>
  </si>
  <si>
    <t>C903344</t>
  </si>
  <si>
    <t>V000254</t>
  </si>
  <si>
    <t>POROTOS VERDES CONGELADOS</t>
  </si>
  <si>
    <t>Teniente Primero AB</t>
  </si>
  <si>
    <t>LECHE-TÉ- CAFÉ</t>
  </si>
  <si>
    <t>ENSALADA TOMATE CEBOLLA</t>
  </si>
  <si>
    <t>PQ 500 gr</t>
  </si>
  <si>
    <r>
      <t xml:space="preserve">RACIÓN ALMUERZO </t>
    </r>
    <r>
      <rPr>
        <sz val="10"/>
        <color indexed="8"/>
        <rFont val="Arial"/>
        <family val="2"/>
      </rPr>
      <t>(INGRESAR CANTIDAD RACIONES DE ALMUERZO)</t>
    </r>
  </si>
  <si>
    <t>RACIÓN ALMUERZO</t>
  </si>
  <si>
    <t>RACIÓN ALMUERZO (85%)</t>
  </si>
  <si>
    <t>SOPA DESHIDRATADA</t>
  </si>
  <si>
    <t>CREMA DESHIDRATADA</t>
  </si>
  <si>
    <t>DIENTE DE DRAGON</t>
  </si>
  <si>
    <t>CHOCOLATE EN POLVO</t>
  </si>
  <si>
    <t>ACEITE CANOLA</t>
  </si>
  <si>
    <t>AZUCAR BLANCA REFINADA</t>
  </si>
  <si>
    <t>BASE HAMBURGUESA</t>
  </si>
  <si>
    <t>DANI</t>
  </si>
  <si>
    <t>REVISADO</t>
  </si>
  <si>
    <t>MARCE</t>
  </si>
  <si>
    <t>CREMA DE CHOCLO</t>
  </si>
  <si>
    <t>CREMA DE ESPARRAGOS</t>
  </si>
  <si>
    <t>DURAZNOS EN CONSERVA, GL</t>
  </si>
  <si>
    <t>ENDULZANTE LIQUIDO STEVIA, 180ML</t>
  </si>
  <si>
    <t>C903332</t>
  </si>
  <si>
    <t>ENDULZANTE LIQUIDO STEVIA, 270ML</t>
  </si>
  <si>
    <t>FIDEOS CORBATITAS</t>
  </si>
  <si>
    <t>FLAN DE LUCUMA</t>
  </si>
  <si>
    <t>C902850</t>
  </si>
  <si>
    <t>FONDOS DE ALCACHOFA, GL</t>
  </si>
  <si>
    <t>C902739</t>
  </si>
  <si>
    <t>HARINA FLOR</t>
  </si>
  <si>
    <t>LASAÑA 360G PRECOCIDA</t>
  </si>
  <si>
    <t>LECHE EN POLVO 800 GRS.</t>
  </si>
  <si>
    <t>C903335</t>
  </si>
  <si>
    <t>LOMO CERDO</t>
  </si>
  <si>
    <t>MANTECA VEGETAL</t>
  </si>
  <si>
    <t>C902639</t>
  </si>
  <si>
    <t>PAPAS PREFRITAS, KG.</t>
  </si>
  <si>
    <t>PAVO CUBOS CONGELADO</t>
  </si>
  <si>
    <t>PAVO PECHUGA</t>
  </si>
  <si>
    <t>PESCADO MERLUZA COMUN</t>
  </si>
  <si>
    <t>PESCADO SALMON CONGELADO</t>
  </si>
  <si>
    <t>POLLO PECHUGA ENTERA</t>
  </si>
  <si>
    <t>PRIMAVERA CONGELADA KGS.</t>
  </si>
  <si>
    <t>PURE DE PAPAS INTANTANEO</t>
  </si>
  <si>
    <t>QUINOA 400 GRS.</t>
  </si>
  <si>
    <t>SOPA POLLO C/ARROZ</t>
  </si>
  <si>
    <t>SURTIDO MARISCOS KG</t>
  </si>
  <si>
    <t>TE EN BOLSITAS</t>
  </si>
  <si>
    <t>VACUNO CARNE MOLIDA CONGELADA</t>
  </si>
  <si>
    <t>VACUNO LOMO LISO CONGELADO</t>
  </si>
  <si>
    <t>VACUNO POSTA NEGRA CONGELADA</t>
  </si>
  <si>
    <t>VACUNO POSTA ROSADA CONGELADA</t>
  </si>
  <si>
    <t>VACUNO SOBRECOSTILLA</t>
  </si>
  <si>
    <t>C903359</t>
  </si>
  <si>
    <t>CREMA PARA BATIR</t>
  </si>
  <si>
    <t>GALLETAS</t>
  </si>
  <si>
    <t>LECHE LIQUIDA</t>
  </si>
  <si>
    <t>LONGANIZAS</t>
  </si>
  <si>
    <t>VINAGRE BALSAMICO</t>
  </si>
  <si>
    <t>CALDOS CONCENTRADOS</t>
  </si>
  <si>
    <t>POLVO PARA HORNEAR (ROYAL)</t>
  </si>
  <si>
    <t>PAN CORRIENTE</t>
  </si>
  <si>
    <t>GALLETAS SODA</t>
  </si>
  <si>
    <t>GALLETAS TRITON</t>
  </si>
  <si>
    <t>PAN ESPECIAL</t>
  </si>
  <si>
    <t>LECHE CON SABOR</t>
  </si>
  <si>
    <t>GALLETAS TUAREG</t>
  </si>
  <si>
    <t>TE LIPTON BOLSITAS 100 NR</t>
  </si>
  <si>
    <t>CEREAL BAR FRUTAS</t>
  </si>
  <si>
    <t>JUGO PIÑA INDIVIDUAL</t>
  </si>
  <si>
    <t>JUGO NARANJA INDIVIDUAL</t>
  </si>
  <si>
    <t>TE VERDE (GREEN) 20 BOLSAS</t>
  </si>
  <si>
    <t>BARRA DE CHOCOLATE HOBBY</t>
  </si>
  <si>
    <t>CAFÉ DESCAFEINADO</t>
  </si>
  <si>
    <t>BEBIDA 250 CC</t>
  </si>
  <si>
    <t>CHANCACA</t>
  </si>
  <si>
    <t>CHOCLO PICADO CONGELADO</t>
  </si>
  <si>
    <t>SOPAS CONCENTRADAS</t>
  </si>
  <si>
    <t>CREMA DE ESPARRAGOS V</t>
  </si>
  <si>
    <t>CREMA DE TOMATES</t>
  </si>
  <si>
    <t>CALDO MAGGI</t>
  </si>
  <si>
    <t>PAPA PREFRITA</t>
  </si>
  <si>
    <t>GALLETAS KUKI</t>
  </si>
  <si>
    <t>PIMENTON CONGELADO</t>
  </si>
  <si>
    <t>JUGOS NECTAR INDIVIDUAL</t>
  </si>
  <si>
    <t>CHOCOLATE TRENCITO</t>
  </si>
  <si>
    <t>YOGURT BATIDO</t>
  </si>
  <si>
    <t>GALLETON DE AVENA</t>
  </si>
  <si>
    <t>BASE PARA COCINAR</t>
  </si>
  <si>
    <t>SUCEDANEO JUGO LIMON 500CC</t>
  </si>
  <si>
    <t>ALBAHACA</t>
  </si>
  <si>
    <t>BOLETIN</t>
  </si>
  <si>
    <t>C902029</t>
  </si>
  <si>
    <t>LECHE EN POLVO INSTANTANEA 0% M.G. 600 GR</t>
  </si>
  <si>
    <t>VACUNO LOMO VETADO</t>
  </si>
  <si>
    <t>C902842</t>
  </si>
  <si>
    <t>CHAMPIÑONES</t>
  </si>
  <si>
    <t>JUREL TIPO SALMON</t>
  </si>
  <si>
    <t>KETCHUP</t>
  </si>
  <si>
    <t>MANJAR FRASCO</t>
  </si>
  <si>
    <t>YOGHURT</t>
  </si>
  <si>
    <t>PIMENTON ROJO NATURAL</t>
  </si>
  <si>
    <t>FRUTAS SECAS</t>
  </si>
  <si>
    <t>QUESO CREMA</t>
  </si>
  <si>
    <t>BEBIDAS 3 LT</t>
  </si>
  <si>
    <t>ACEITE NATURAL X BIDON 5 LITROS</t>
  </si>
  <si>
    <t>JUGO NECTAR</t>
  </si>
  <si>
    <t>BARRA PROTEICA DE CEREAL</t>
  </si>
  <si>
    <t>CHOCOLATE BARRAS</t>
  </si>
  <si>
    <t>HELADOS</t>
  </si>
  <si>
    <t>REPOLLOS</t>
  </si>
  <si>
    <t>CARAMELO LIQUIDO</t>
  </si>
  <si>
    <t>PAPAS DUQUESA</t>
  </si>
  <si>
    <t>PAN DE PASCUA</t>
  </si>
  <si>
    <t>PIMIENTA BLANCA</t>
  </si>
  <si>
    <t>ALFAJOR</t>
  </si>
  <si>
    <t>ESCENCIA VAINILLA</t>
  </si>
  <si>
    <t>HUEVO DE PRIMERA</t>
  </si>
  <si>
    <t>MAYONESA 950 GRS.</t>
  </si>
  <si>
    <t>LECHUGA COSTINA</t>
  </si>
  <si>
    <t>LECHUGA HIDROPONICA</t>
  </si>
  <si>
    <t>ACELGA</t>
  </si>
  <si>
    <t>ACETO BALSAMICO</t>
  </si>
  <si>
    <t>AJO EN POLVO</t>
  </si>
  <si>
    <t>ALIÑO COMPLETO KG</t>
  </si>
  <si>
    <t>ALIÑO COMPLETO PQ</t>
  </si>
  <si>
    <t>ALMENDRAS</t>
  </si>
  <si>
    <t>ARVEJAS CONGELADAS KG</t>
  </si>
  <si>
    <t>ARVEJAS CONGELADAS PQ</t>
  </si>
  <si>
    <t>AVENA QUAKER INSTANTANEA</t>
  </si>
  <si>
    <t>BEBIDA ENERGETICA GATORADE</t>
  </si>
  <si>
    <t>BEBIDAS</t>
  </si>
  <si>
    <t>BETARRAGAS AT</t>
  </si>
  <si>
    <t>BETARRAGAS KG</t>
  </si>
  <si>
    <t>BROCOLI CONGELADO V</t>
  </si>
  <si>
    <t>BROWNIE</t>
  </si>
  <si>
    <t>CAFE FINA SELECCION</t>
  </si>
  <si>
    <t>CAFÉ HAITI</t>
  </si>
  <si>
    <t>CANELA SB</t>
  </si>
  <si>
    <t>CEBOLLA MORADA</t>
  </si>
  <si>
    <t>CERDO COSTILLAR</t>
  </si>
  <si>
    <t>CEREAL PQ</t>
  </si>
  <si>
    <t>CHOCLO DESGRANADO CONGELADO</t>
  </si>
  <si>
    <t>CHOCMAN</t>
  </si>
  <si>
    <t>CHOCOLATE AFTER HEIGTH</t>
  </si>
  <si>
    <t>CHOCOLATE COBERTURA</t>
  </si>
  <si>
    <t>CLAVO DE OLOR</t>
  </si>
  <si>
    <t>V000090</t>
  </si>
  <si>
    <t>COMINO MOLIDO</t>
  </si>
  <si>
    <t>CREMA</t>
  </si>
  <si>
    <t>CREMA ARVEJAS C/JAMON</t>
  </si>
  <si>
    <t>CREMAS SURTIDAS</t>
  </si>
  <si>
    <t>CURRY EN POLVO KG</t>
  </si>
  <si>
    <t>CURRY EN POLVO SB</t>
  </si>
  <si>
    <t>DULCE DE MEMBRILLO</t>
  </si>
  <si>
    <t>DURAZNO MITAD EN CONSERVA</t>
  </si>
  <si>
    <t>ESPINACAS NATURALES</t>
  </si>
  <si>
    <t>GALLETA COSTA</t>
  </si>
  <si>
    <t>GALLETA DE MANTEQUILLA</t>
  </si>
  <si>
    <t>GALLETA MINI LIMON</t>
  </si>
  <si>
    <t>GALLETA MINI MANTEQUILLA</t>
  </si>
  <si>
    <t>GALLETAS KG</t>
  </si>
  <si>
    <t>GALLETAS CHAMPA?A</t>
  </si>
  <si>
    <t>GALLETAS CRACKELET</t>
  </si>
  <si>
    <t>GALLETAS FRAC</t>
  </si>
  <si>
    <t>GALLETAS MINI</t>
  </si>
  <si>
    <t>HABAS CONGELADAS KG</t>
  </si>
  <si>
    <t>HABAS CONGELADAS PQ</t>
  </si>
  <si>
    <t>HAMBURGUESA DE VACUNO</t>
  </si>
  <si>
    <t>HELADO CASATIN</t>
  </si>
  <si>
    <t>HUESILLOS KG</t>
  </si>
  <si>
    <t>HUESILLOS PQ</t>
  </si>
  <si>
    <t>JAMON SANDWICH</t>
  </si>
  <si>
    <t>JARDINERA</t>
  </si>
  <si>
    <t>JUGO DE LIMON BIDON DE 5 LTS.</t>
  </si>
  <si>
    <t>JUGO DE LIMON LT</t>
  </si>
  <si>
    <t>JUGO LIMON BT</t>
  </si>
  <si>
    <t>JUGO ISOTONICO</t>
  </si>
  <si>
    <t>JUGO LIQUIDO</t>
  </si>
  <si>
    <t>JUGO NECTAR LT</t>
  </si>
  <si>
    <t>LECHUGA CHILENA</t>
  </si>
  <si>
    <t>MANI SALADO</t>
  </si>
  <si>
    <t>MANTECA KG</t>
  </si>
  <si>
    <t>MANTECA PQ</t>
  </si>
  <si>
    <t>MANTEQUILLA KG</t>
  </si>
  <si>
    <t>MANTEQUILLA PQ</t>
  </si>
  <si>
    <t>MARGARINA KG</t>
  </si>
  <si>
    <t>MARGARINA PQ</t>
  </si>
  <si>
    <t>MARGARINA VEGETAL</t>
  </si>
  <si>
    <t>MAYONESA FRASCO</t>
  </si>
  <si>
    <t>MERKEN</t>
  </si>
  <si>
    <t>MERMELADA SB</t>
  </si>
  <si>
    <t>MERMELADA KG</t>
  </si>
  <si>
    <t>MIEL DE PALMA</t>
  </si>
  <si>
    <t>MILO SB</t>
  </si>
  <si>
    <t>MILO KG</t>
  </si>
  <si>
    <t>MORRON</t>
  </si>
  <si>
    <t>MOTE KG</t>
  </si>
  <si>
    <t>PAN MOLDE</t>
  </si>
  <si>
    <t>PAN ESPECIAL KG</t>
  </si>
  <si>
    <t>PAPAS KG</t>
  </si>
  <si>
    <t>PATE</t>
  </si>
  <si>
    <t>PATE KG</t>
  </si>
  <si>
    <t>PATE DE TERNERA</t>
  </si>
  <si>
    <t>PEPINOS DE ENSALADA KG</t>
  </si>
  <si>
    <t>PIMIENTA</t>
  </si>
  <si>
    <t>POLVO DE HORNEAR TA</t>
  </si>
  <si>
    <t>POLVO DE HORNEAR SB</t>
  </si>
  <si>
    <t>POLVO DE HORNEAR KG</t>
  </si>
  <si>
    <t>POROTOS GRANADOS CONGELADOS</t>
  </si>
  <si>
    <t>POROTOS VERDES</t>
  </si>
  <si>
    <t>PRIMAVERA CONGELADOS</t>
  </si>
  <si>
    <t>QUESO LAMINADO KG</t>
  </si>
  <si>
    <t>QUESO LAMINADO SB</t>
  </si>
  <si>
    <t>QUESO PARMESANO</t>
  </si>
  <si>
    <t>QUESO PHILADELPHIA</t>
  </si>
  <si>
    <t>QUESO ROQUEFORD</t>
  </si>
  <si>
    <t>REFRESCOS</t>
  </si>
  <si>
    <t>SABORIZANTE PARA LECHE</t>
  </si>
  <si>
    <t>SACARINA</t>
  </si>
  <si>
    <t>SALSA DE CARAMELO BT</t>
  </si>
  <si>
    <t>SALSA DE CARAMELO FR</t>
  </si>
  <si>
    <t>SALSA DE CHOCOLATE</t>
  </si>
  <si>
    <t>SALSA DE TOMATE KG</t>
  </si>
  <si>
    <t>SEMOLA KG</t>
  </si>
  <si>
    <t>SEMOLA PQ</t>
  </si>
  <si>
    <t>SOPA POLLO C/FIDEOS</t>
  </si>
  <si>
    <t>SUPER 8</t>
  </si>
  <si>
    <t>TE HIERBAS 100 NR</t>
  </si>
  <si>
    <t>TOCINO AHUMADO VACIO</t>
  </si>
  <si>
    <t>TRIGO MOTE</t>
  </si>
  <si>
    <t>VINAGRE BIDO DE 5 LITROS.</t>
  </si>
  <si>
    <t>VINO TETRA</t>
  </si>
  <si>
    <t>ZAPALLOS ITALIANOS KG</t>
  </si>
  <si>
    <t>ZAPALLOS ITALIANOS NR</t>
  </si>
  <si>
    <t>*PRIZONA</t>
  </si>
  <si>
    <t>CEBOLLA CUBO TARRO 4,2 KG</t>
  </si>
  <si>
    <t>CHAMPIÑON CONSERVA</t>
  </si>
  <si>
    <t>CHAMPIÑON NATURAL</t>
  </si>
  <si>
    <t>CIRUELA SECA DESCAROZADA</t>
  </si>
  <si>
    <t>CREMA DE POLLO</t>
  </si>
  <si>
    <t>MAYONESA KG</t>
  </si>
  <si>
    <t>PALMITOS</t>
  </si>
  <si>
    <t>PAPAS</t>
  </si>
  <si>
    <t>PRIZONA</t>
  </si>
  <si>
    <t>CREMA DE VERDURAS V</t>
  </si>
  <si>
    <t/>
  </si>
  <si>
    <t>C902632</t>
  </si>
  <si>
    <t>V000479</t>
  </si>
  <si>
    <t>V000506</t>
  </si>
  <si>
    <t>V001045</t>
  </si>
  <si>
    <t>CÓDIGOS C</t>
  </si>
  <si>
    <t>CÓDIGOS V</t>
  </si>
  <si>
    <t>%C</t>
  </si>
  <si>
    <t>%V</t>
  </si>
  <si>
    <t>PROMEDIO</t>
  </si>
  <si>
    <t>V000272</t>
  </si>
  <si>
    <t>CHOCLO GRANO CONGELADO</t>
  </si>
  <si>
    <t>COCKTAIL DE FRUTAS</t>
  </si>
  <si>
    <t>CONCENTRADO TOMATES KG</t>
  </si>
  <si>
    <t>SOPA DE POLLO CON ARROZ</t>
  </si>
  <si>
    <t>SOPA DE POLLO CON FIDEOS</t>
  </si>
  <si>
    <t>CODIGO</t>
  </si>
  <si>
    <t>AJI</t>
  </si>
  <si>
    <t>BASE DE APANAR</t>
  </si>
  <si>
    <t>CAFÉ INSTANTANEO</t>
  </si>
  <si>
    <t>CHAPSUI MEZCLA</t>
  </si>
  <si>
    <t>CREMA DE VERDURAS</t>
  </si>
  <si>
    <t>LECHE CONDENSADA</t>
  </si>
  <si>
    <t>LECHE EVAPORADA</t>
  </si>
  <si>
    <t>PASTA DE CHOCLO</t>
  </si>
  <si>
    <t>PIMIENTA NEGRA</t>
  </si>
  <si>
    <t>SAL</t>
  </si>
  <si>
    <t>SOPA DE CARNE CON FIDEOS</t>
  </si>
  <si>
    <t>V000954</t>
  </si>
  <si>
    <t>V000378</t>
  </si>
  <si>
    <t>V000726</t>
  </si>
  <si>
    <t>AGUA MINERAL</t>
  </si>
  <si>
    <t>V000008</t>
  </si>
  <si>
    <t>V001117</t>
  </si>
  <si>
    <t>V000013</t>
  </si>
  <si>
    <t>V000015</t>
  </si>
  <si>
    <t>V000537</t>
  </si>
  <si>
    <t>V000339</t>
  </si>
  <si>
    <t>V000504</t>
  </si>
  <si>
    <t>V000395</t>
  </si>
  <si>
    <t>V000397</t>
  </si>
  <si>
    <t>V000028</t>
  </si>
  <si>
    <t>V000031</t>
  </si>
  <si>
    <t>V001002</t>
  </si>
  <si>
    <t>V001151</t>
  </si>
  <si>
    <t>V000366</t>
  </si>
  <si>
    <t>V000367</t>
  </si>
  <si>
    <t>V000978</t>
  </si>
  <si>
    <t>V001078</t>
  </si>
  <si>
    <t>V000987</t>
  </si>
  <si>
    <t>V001133</t>
  </si>
  <si>
    <t>V001044</t>
  </si>
  <si>
    <t>V000033</t>
  </si>
  <si>
    <t>V000910</t>
  </si>
  <si>
    <t>V000379</t>
  </si>
  <si>
    <t>V000038</t>
  </si>
  <si>
    <t>V000932</t>
  </si>
  <si>
    <t>CAFE GRANO</t>
  </si>
  <si>
    <t>V000042</t>
  </si>
  <si>
    <t>V001051</t>
  </si>
  <si>
    <t>V000041</t>
  </si>
  <si>
    <t>V000463</t>
  </si>
  <si>
    <t>V000517</t>
  </si>
  <si>
    <t>V000346</t>
  </si>
  <si>
    <t>V001128</t>
  </si>
  <si>
    <t>V000368</t>
  </si>
  <si>
    <t>V000998</t>
  </si>
  <si>
    <t>V000059</t>
  </si>
  <si>
    <t>CEREAL</t>
  </si>
  <si>
    <t>V000538</t>
  </si>
  <si>
    <t>V000704</t>
  </si>
  <si>
    <t>V000423</t>
  </si>
  <si>
    <t>V000063</t>
  </si>
  <si>
    <t>V000064</t>
  </si>
  <si>
    <t>V000065</t>
  </si>
  <si>
    <t>V000803</t>
  </si>
  <si>
    <t>V000602</t>
  </si>
  <si>
    <t>V000068</t>
  </si>
  <si>
    <t>V000471</t>
  </si>
  <si>
    <t>V000070</t>
  </si>
  <si>
    <t>V000071</t>
  </si>
  <si>
    <t>V000072</t>
  </si>
  <si>
    <t>V000712</t>
  </si>
  <si>
    <t>V000079</t>
  </si>
  <si>
    <t>V000083</t>
  </si>
  <si>
    <t>V000787</t>
  </si>
  <si>
    <t>V000086</t>
  </si>
  <si>
    <t>COFFEE,INSTANT</t>
  </si>
  <si>
    <t>V000091</t>
  </si>
  <si>
    <t>V000094</t>
  </si>
  <si>
    <t>V001056</t>
  </si>
  <si>
    <t>V000439</t>
  </si>
  <si>
    <t>CREMA DE POLLO V</t>
  </si>
  <si>
    <t>V000444</t>
  </si>
  <si>
    <t>V000440</t>
  </si>
  <si>
    <t>V000442</t>
  </si>
  <si>
    <t>V000400</t>
  </si>
  <si>
    <t>CREMA DE CHAMPIÑONES</t>
  </si>
  <si>
    <t>V000948</t>
  </si>
  <si>
    <t>V000443</t>
  </si>
  <si>
    <t>V000365</t>
  </si>
  <si>
    <t>V000105</t>
  </si>
  <si>
    <t>V000359</t>
  </si>
  <si>
    <t>V000478</t>
  </si>
  <si>
    <t>V000338</t>
  </si>
  <si>
    <t>V000110</t>
  </si>
  <si>
    <t>V000114</t>
  </si>
  <si>
    <t>V000115</t>
  </si>
  <si>
    <t>V000642</t>
  </si>
  <si>
    <t>V000123</t>
  </si>
  <si>
    <t>FIDEOS CABELLOS DE ANGEL</t>
  </si>
  <si>
    <t>V001132</t>
  </si>
  <si>
    <t>FLAN</t>
  </si>
  <si>
    <t>V000127</t>
  </si>
  <si>
    <t>V000614</t>
  </si>
  <si>
    <t>V000132</t>
  </si>
  <si>
    <t>V000135</t>
  </si>
  <si>
    <t>V000624</t>
  </si>
  <si>
    <t>V000762</t>
  </si>
  <si>
    <t>V000868</t>
  </si>
  <si>
    <t>V000872</t>
  </si>
  <si>
    <t>V000136</t>
  </si>
  <si>
    <t>V000137</t>
  </si>
  <si>
    <t>V000579</t>
  </si>
  <si>
    <t>V001075</t>
  </si>
  <si>
    <t>V000940</t>
  </si>
  <si>
    <t>V000577</t>
  </si>
  <si>
    <t>V000493</t>
  </si>
  <si>
    <t>V000494</t>
  </si>
  <si>
    <t>V000578</t>
  </si>
  <si>
    <t>V000873</t>
  </si>
  <si>
    <t>V000142</t>
  </si>
  <si>
    <t>V000798</t>
  </si>
  <si>
    <t>V000411</t>
  </si>
  <si>
    <t>V000146</t>
  </si>
  <si>
    <t>V001149</t>
  </si>
  <si>
    <t>V000147</t>
  </si>
  <si>
    <t>V001099</t>
  </si>
  <si>
    <t>V000653</t>
  </si>
  <si>
    <t>V000148</t>
  </si>
  <si>
    <t>JAMON AL VACIO</t>
  </si>
  <si>
    <t>V000916</t>
  </si>
  <si>
    <t>V000151</t>
  </si>
  <si>
    <t>V001100</t>
  </si>
  <si>
    <t>V000697</t>
  </si>
  <si>
    <t>V000347</t>
  </si>
  <si>
    <t>V000836</t>
  </si>
  <si>
    <t>V001119</t>
  </si>
  <si>
    <t>V000155</t>
  </si>
  <si>
    <t>V000707</t>
  </si>
  <si>
    <t>V000156</t>
  </si>
  <si>
    <t>V001085</t>
  </si>
  <si>
    <t>V000568</t>
  </si>
  <si>
    <t>V000475</t>
  </si>
  <si>
    <t>V000706</t>
  </si>
  <si>
    <t>V000157</t>
  </si>
  <si>
    <t>V000159</t>
  </si>
  <si>
    <t>V000160</t>
  </si>
  <si>
    <t>V000162</t>
  </si>
  <si>
    <t>V000564</t>
  </si>
  <si>
    <t>V000835</t>
  </si>
  <si>
    <t>V000167</t>
  </si>
  <si>
    <t>V000168</t>
  </si>
  <si>
    <t>V000169</t>
  </si>
  <si>
    <t>V000885</t>
  </si>
  <si>
    <t>V000170</t>
  </si>
  <si>
    <t>V000955</t>
  </si>
  <si>
    <t>V000179</t>
  </si>
  <si>
    <t>V000185</t>
  </si>
  <si>
    <t>V000190</t>
  </si>
  <si>
    <t>V000370</t>
  </si>
  <si>
    <t>V000191</t>
  </si>
  <si>
    <t>V000518</t>
  </si>
  <si>
    <t>V001098</t>
  </si>
  <si>
    <t>V000192</t>
  </si>
  <si>
    <t>V000522</t>
  </si>
  <si>
    <t>V000193</t>
  </si>
  <si>
    <t>V000810</t>
  </si>
  <si>
    <t>V000194</t>
  </si>
  <si>
    <t>V000523</t>
  </si>
  <si>
    <t>V000641</t>
  </si>
  <si>
    <t>V000361</t>
  </si>
  <si>
    <t>MAYONESA PQ</t>
  </si>
  <si>
    <t>V000853</t>
  </si>
  <si>
    <t>V000700</t>
  </si>
  <si>
    <t>V000197</t>
  </si>
  <si>
    <t>V000863</t>
  </si>
  <si>
    <t>V000202</t>
  </si>
  <si>
    <t>V000200</t>
  </si>
  <si>
    <t>V000456</t>
  </si>
  <si>
    <t>V000203</t>
  </si>
  <si>
    <t>V000591</t>
  </si>
  <si>
    <t>V001065</t>
  </si>
  <si>
    <t>V001093</t>
  </si>
  <si>
    <t>V000625</t>
  </si>
  <si>
    <t>V000207</t>
  </si>
  <si>
    <t>V000909</t>
  </si>
  <si>
    <t>MOUSSE</t>
  </si>
  <si>
    <t>V000209</t>
  </si>
  <si>
    <t>V000210</t>
  </si>
  <si>
    <t>V000211</t>
  </si>
  <si>
    <t>V000214</t>
  </si>
  <si>
    <t>V000216</t>
  </si>
  <si>
    <t>V000470</t>
  </si>
  <si>
    <t>V000415</t>
  </si>
  <si>
    <t>V000459</t>
  </si>
  <si>
    <t>V001148</t>
  </si>
  <si>
    <t>V000528</t>
  </si>
  <si>
    <t>V000569</t>
  </si>
  <si>
    <t>V000363</t>
  </si>
  <si>
    <t>V000376</t>
  </si>
  <si>
    <t>V000450</t>
  </si>
  <si>
    <t>V000224</t>
  </si>
  <si>
    <t>V000852</t>
  </si>
  <si>
    <t>V000386</t>
  </si>
  <si>
    <t>V000612</t>
  </si>
  <si>
    <t>V000601</t>
  </si>
  <si>
    <t>V000482</t>
  </si>
  <si>
    <t>V000238</t>
  </si>
  <si>
    <t>V000764</t>
  </si>
  <si>
    <t>V000246</t>
  </si>
  <si>
    <t>V000247</t>
  </si>
  <si>
    <t>V000414</t>
  </si>
  <si>
    <t>V000250</t>
  </si>
  <si>
    <t>V000502</t>
  </si>
  <si>
    <t>V000256</t>
  </si>
  <si>
    <t>V000404</t>
  </si>
  <si>
    <t>V000658</t>
  </si>
  <si>
    <t>V000857</t>
  </si>
  <si>
    <t>V001115</t>
  </si>
  <si>
    <t>V000276</t>
  </si>
  <si>
    <t>V000279</t>
  </si>
  <si>
    <t>V000372</t>
  </si>
  <si>
    <t>V000283</t>
  </si>
  <si>
    <t>V000928</t>
  </si>
  <si>
    <t>V000286</t>
  </si>
  <si>
    <t>V000293</t>
  </si>
  <si>
    <t>V000574</t>
  </si>
  <si>
    <t>V000294</t>
  </si>
  <si>
    <t>V000997</t>
  </si>
  <si>
    <t>SALSA ESPAÑOLA V</t>
  </si>
  <si>
    <t>V000374</t>
  </si>
  <si>
    <t>V000305</t>
  </si>
  <si>
    <t>V000304</t>
  </si>
  <si>
    <t>V000437</t>
  </si>
  <si>
    <t>V000438</t>
  </si>
  <si>
    <t>V000345</t>
  </si>
  <si>
    <t>V000596</t>
  </si>
  <si>
    <t>V000313</t>
  </si>
  <si>
    <t>V000652</t>
  </si>
  <si>
    <t>V000886</t>
  </si>
  <si>
    <t>V000315</t>
  </si>
  <si>
    <t>V000318</t>
  </si>
  <si>
    <t>V000319</t>
  </si>
  <si>
    <t>V000326</t>
  </si>
  <si>
    <t>V001118</t>
  </si>
  <si>
    <t>V000329</t>
  </si>
  <si>
    <t>V000485</t>
  </si>
  <si>
    <t>V000753</t>
  </si>
  <si>
    <t>V000755</t>
  </si>
  <si>
    <t>V000390</t>
  </si>
  <si>
    <t>LECHE EN POLVO INSTANTANEA 0% M.G.</t>
  </si>
  <si>
    <t>% celda h</t>
  </si>
  <si>
    <t>%perdida</t>
  </si>
  <si>
    <t>GRS P/P</t>
  </si>
  <si>
    <t>MACRONUTRIENTES</t>
  </si>
  <si>
    <t>% AUMENTO</t>
  </si>
  <si>
    <t>Jessica Alvarado Villanueva</t>
  </si>
  <si>
    <t>SEGÚN FORMATO</t>
  </si>
  <si>
    <t>V000073</t>
  </si>
  <si>
    <t>V001103</t>
  </si>
  <si>
    <t>PQ (50 g)</t>
  </si>
  <si>
    <t>V001104</t>
  </si>
  <si>
    <t>CILANTRO KILO</t>
  </si>
  <si>
    <t>V000174</t>
  </si>
  <si>
    <t xml:space="preserve">ALTERNATIVA: OTRAS ENSALADAS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</si>
  <si>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ALTERNATIVA: CREMA DESHIDRATADA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</si>
  <si>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ALTERNATIVA: SOPA DESHIDRATADA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</si>
  <si>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EMPANADA DE PINO/PEBRE</t>
  </si>
  <si>
    <t>PQ</t>
  </si>
  <si>
    <t>AT 100 g</t>
  </si>
  <si>
    <t>200 gr</t>
  </si>
  <si>
    <t>LR(50 CC)</t>
  </si>
  <si>
    <t>ALMUERZO GENERAL</t>
  </si>
  <si>
    <t>CENA GENERAL</t>
  </si>
  <si>
    <t>MOTE CON HUESILLOS</t>
  </si>
  <si>
    <t>FLAN DE CHOCOLATE</t>
  </si>
  <si>
    <t>ALTERNATIVA: POSTRE DISPONIBLE</t>
  </si>
  <si>
    <t>NOTA 17:</t>
  </si>
  <si>
    <t>TODO EL PERSONAL INVOLURADO EN LA CONFECCIÓN DEL MENÚ, TANTO DE REGIMEN NORMAL COMO HIPOCALÓRICO,  DEBE TOMAR LAS MEDIDAS NECESARIAS DE HIGIENE Y MANIPULACIÓN DE ALIMENTOS, OBJETO EVITAR ALGUN TIPO DE INTOXICACIÓN O ENFERMEDAD, POR CONSUMO DE ALIMENTOS EN MAL ESTADO, CONTAMINADO O MAL PREPARADO.</t>
  </si>
  <si>
    <t>LIMON NATURAL</t>
  </si>
  <si>
    <t>V000176</t>
  </si>
  <si>
    <t>800 grs</t>
  </si>
  <si>
    <t>POSTRES: LOS SABORES DE LOS POSTRES PUEDEN VARIAR DE ACUERDO A EXISTENCIA, LOS POSTRES DE LECHE PUEDEN SER CAMBIADOS POR OTRO POSTRE DE LECHE SEGÚN EXISTENCIA, EL MOTE CON HUESILLO PUEDE SER MODIFICADO POR COMPOTA DE FRUTAS.</t>
  </si>
  <si>
    <t xml:space="preserve">ALTERNATIVA: EMPANADA DE QUESO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</si>
  <si>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400 G</t>
  </si>
  <si>
    <t>EMPANADA DE PINO /ENSALADA CHILENA/PEBRE</t>
  </si>
  <si>
    <t>N.S.L.</t>
  </si>
  <si>
    <t>UE</t>
  </si>
  <si>
    <t>VALOR</t>
  </si>
  <si>
    <t>UURR</t>
  </si>
  <si>
    <t>Validador</t>
  </si>
  <si>
    <t>1074 - BASAERO</t>
  </si>
  <si>
    <t>1204 - MARITGOBCOQ</t>
  </si>
  <si>
    <t>1205 - MARITGOBVALP</t>
  </si>
  <si>
    <t>1110 - BASIMCON</t>
  </si>
  <si>
    <t>19 - DENTAPRIM</t>
  </si>
  <si>
    <t>9182 - HABIVALP</t>
  </si>
  <si>
    <t>1008 - VALPABAS</t>
  </si>
  <si>
    <t>1105 - COMFUES</t>
  </si>
  <si>
    <t>1030 - DIRECPERS</t>
  </si>
  <si>
    <t>1228 - CAPUERTOQUI</t>
  </si>
  <si>
    <t>4128 - MONTT</t>
  </si>
  <si>
    <t>4263 - SAN ANTONIO</t>
  </si>
  <si>
    <t>V000005</t>
  </si>
  <si>
    <t>TA</t>
  </si>
  <si>
    <t>35 - DIRSOMAR</t>
  </si>
  <si>
    <t>1034 - DIRECTEMAR</t>
  </si>
  <si>
    <t>1501 - BIENVALP</t>
  </si>
  <si>
    <t>1001 - PRIZONA</t>
  </si>
  <si>
    <t>BT</t>
  </si>
  <si>
    <t>1041 - APOLINAV</t>
  </si>
  <si>
    <t>4224 - RIVEROS</t>
  </si>
  <si>
    <t>12 - DIRINTA</t>
  </si>
  <si>
    <t>703 - ESTANAVMET</t>
  </si>
  <si>
    <t>4027 - ARAUCANO</t>
  </si>
  <si>
    <t>1227 - CAPUERTOLOS</t>
  </si>
  <si>
    <t>1211 - CAPUERTOTOY</t>
  </si>
  <si>
    <t>ALCAPARRAS</t>
  </si>
  <si>
    <t>FR</t>
  </si>
  <si>
    <t>ALI?O COMPLETO</t>
  </si>
  <si>
    <t>V000025</t>
  </si>
  <si>
    <t>ARVEJITAS CONSERVA</t>
  </si>
  <si>
    <t>BETARRAGAS</t>
  </si>
  <si>
    <t>V000047</t>
  </si>
  <si>
    <t>CANELA</t>
  </si>
  <si>
    <t>V000053</t>
  </si>
  <si>
    <t>CASSATAS</t>
  </si>
  <si>
    <t>V000062</t>
  </si>
  <si>
    <t>CEREZAS AL JUGO</t>
  </si>
  <si>
    <t>CHAMPI?ON CONSERVA</t>
  </si>
  <si>
    <t>CHAMPI?ON NATURAL</t>
  </si>
  <si>
    <t>V000067</t>
  </si>
  <si>
    <t>CHOCLO NATURAL</t>
  </si>
  <si>
    <t>V000069</t>
  </si>
  <si>
    <t>CHOCLOS COCKTAIL</t>
  </si>
  <si>
    <t>CA</t>
  </si>
  <si>
    <t>1206 - MARITGOBSNO</t>
  </si>
  <si>
    <t>V000082</t>
  </si>
  <si>
    <t>1229 - CAPUERTORBO</t>
  </si>
  <si>
    <t>V000088</t>
  </si>
  <si>
    <t>COCKTAIL DE FRUTAS CONSERVA</t>
  </si>
  <si>
    <t>V000103</t>
  </si>
  <si>
    <t>CREMA CHANTILLY</t>
  </si>
  <si>
    <t>LR</t>
  </si>
  <si>
    <t>4231 - LYNCH</t>
  </si>
  <si>
    <t>V000106</t>
  </si>
  <si>
    <t>CREMA PASTELERA</t>
  </si>
  <si>
    <t>V000111</t>
  </si>
  <si>
    <t>DURAZNO CUADRITO EN CONSERVA</t>
  </si>
  <si>
    <t>V000113</t>
  </si>
  <si>
    <t>V000140</t>
  </si>
  <si>
    <t>GELATINA SIN SABOR</t>
  </si>
  <si>
    <t>HUESILLOS</t>
  </si>
  <si>
    <t>V000150</t>
  </si>
  <si>
    <t>JAMON ACARAMELADO</t>
  </si>
  <si>
    <t>JUGO LIMON</t>
  </si>
  <si>
    <t>V000163</t>
  </si>
  <si>
    <t>LECHE ASADA</t>
  </si>
  <si>
    <t>V000164</t>
  </si>
  <si>
    <t>V000166</t>
  </si>
  <si>
    <t>LECHE DESCREMADA</t>
  </si>
  <si>
    <t>4268 - VALPARAISO</t>
  </si>
  <si>
    <t>V000171</t>
  </si>
  <si>
    <t>LECHUGA ESPA?OLA</t>
  </si>
  <si>
    <t>V000175</t>
  </si>
  <si>
    <t>V000184</t>
  </si>
  <si>
    <t>MANTEQUILLA</t>
  </si>
  <si>
    <t>MARGARINA</t>
  </si>
  <si>
    <t>MERMELADA</t>
  </si>
  <si>
    <t>SB</t>
  </si>
  <si>
    <t>V000206</t>
  </si>
  <si>
    <t>MOSTACILLA DECORACION</t>
  </si>
  <si>
    <t>V000218</t>
  </si>
  <si>
    <t>PAN DE MOLDE</t>
  </si>
  <si>
    <t>V000219</t>
  </si>
  <si>
    <t>PAN RALLADO</t>
  </si>
  <si>
    <t>V000223</t>
  </si>
  <si>
    <t>V000234</t>
  </si>
  <si>
    <t>PICKLES</t>
  </si>
  <si>
    <t>PIMENTON NATURAL</t>
  </si>
  <si>
    <t>V000239</t>
  </si>
  <si>
    <t>PIMIENTA BLANCA EN FRASCO</t>
  </si>
  <si>
    <t>V000241</t>
  </si>
  <si>
    <t>PI?A EN CONSERVA</t>
  </si>
  <si>
    <t>V000242</t>
  </si>
  <si>
    <t>POLVO DE HORNEAR</t>
  </si>
  <si>
    <t>V000253</t>
  </si>
  <si>
    <t>V000255</t>
  </si>
  <si>
    <t>PRIETAS</t>
  </si>
  <si>
    <t>V000265</t>
  </si>
  <si>
    <t>QUESO CABRA</t>
  </si>
  <si>
    <t>V000268</t>
  </si>
  <si>
    <t>V000271</t>
  </si>
  <si>
    <t>QUESO GAUDA ENTERO</t>
  </si>
  <si>
    <t>V000278</t>
  </si>
  <si>
    <t>V000289</t>
  </si>
  <si>
    <t>SALMON AHUMADO FILETE</t>
  </si>
  <si>
    <t>SALSA DE CARAMELO</t>
  </si>
  <si>
    <t>SEMOLA</t>
  </si>
  <si>
    <t>V000312</t>
  </si>
  <si>
    <t>TE HIERBAS 20 NR.</t>
  </si>
  <si>
    <t>BS</t>
  </si>
  <si>
    <t>V000322</t>
  </si>
  <si>
    <t>VACUNO FILETE</t>
  </si>
  <si>
    <t>V000325</t>
  </si>
  <si>
    <t>V000331</t>
  </si>
  <si>
    <t>ZANAHORIA CONGELADA</t>
  </si>
  <si>
    <t>ZAPALLOS ITALIANOS</t>
  </si>
  <si>
    <t>V000341</t>
  </si>
  <si>
    <t>AJI VERDE</t>
  </si>
  <si>
    <t>V000342</t>
  </si>
  <si>
    <t>V000343</t>
  </si>
  <si>
    <t>V000348</t>
  </si>
  <si>
    <t>CURRY EN POLVO</t>
  </si>
  <si>
    <t>MAYONESA</t>
  </si>
  <si>
    <t>V000362</t>
  </si>
  <si>
    <t>CEBOLLAS</t>
  </si>
  <si>
    <t>BASE APANAR</t>
  </si>
  <si>
    <t>BETERRAGA</t>
  </si>
  <si>
    <t>V000380</t>
  </si>
  <si>
    <t>BROCOLI</t>
  </si>
  <si>
    <t>V000383</t>
  </si>
  <si>
    <t>LECHUGA</t>
  </si>
  <si>
    <t>PEPINO ENSALADA</t>
  </si>
  <si>
    <t>V000387</t>
  </si>
  <si>
    <t>PIMENTON</t>
  </si>
  <si>
    <t>V000389</t>
  </si>
  <si>
    <t>REPOLLO</t>
  </si>
  <si>
    <t>ZAPALLO ITALIANO</t>
  </si>
  <si>
    <t>V000391</t>
  </si>
  <si>
    <t>ARVEJAS CONGELADAS</t>
  </si>
  <si>
    <t>V000396</t>
  </si>
  <si>
    <t>V000401</t>
  </si>
  <si>
    <t>DULCE MEMBRILLO</t>
  </si>
  <si>
    <t>V000409</t>
  </si>
  <si>
    <t>COCO RALLADO</t>
  </si>
  <si>
    <t>1401 - HIDROGRAFIA</t>
  </si>
  <si>
    <t>V000416</t>
  </si>
  <si>
    <t>JAMON PLANCHADO</t>
  </si>
  <si>
    <t>V000417</t>
  </si>
  <si>
    <t>ACEITE OLIVA</t>
  </si>
  <si>
    <t>V000424</t>
  </si>
  <si>
    <t>V000425</t>
  </si>
  <si>
    <t>AGUA MINERAL 5 LITROS</t>
  </si>
  <si>
    <t>V000427</t>
  </si>
  <si>
    <t>JUGOS</t>
  </si>
  <si>
    <t>V000430</t>
  </si>
  <si>
    <t>V000458</t>
  </si>
  <si>
    <t>REPOLLO MORADO</t>
  </si>
  <si>
    <t>V000477</t>
  </si>
  <si>
    <t>V000500</t>
  </si>
  <si>
    <t>TORTAS</t>
  </si>
  <si>
    <t>V000503</t>
  </si>
  <si>
    <t>MANTECA</t>
  </si>
  <si>
    <t>V000520</t>
  </si>
  <si>
    <t>V000526</t>
  </si>
  <si>
    <t>PEPINILLO</t>
  </si>
  <si>
    <t>V000542</t>
  </si>
  <si>
    <t>MANTECOL</t>
  </si>
  <si>
    <t>V000544</t>
  </si>
  <si>
    <t>BEBIDA 1,5 LT</t>
  </si>
  <si>
    <t>V000545</t>
  </si>
  <si>
    <t>BEBIDA 1/2 LT.</t>
  </si>
  <si>
    <t>V000547</t>
  </si>
  <si>
    <t>BEBIDA EN LATA</t>
  </si>
  <si>
    <t>V000558</t>
  </si>
  <si>
    <t>CASSATA</t>
  </si>
  <si>
    <t>V000582</t>
  </si>
  <si>
    <t>JUGO LIMON BIDON 5 LITROS</t>
  </si>
  <si>
    <t>V000592</t>
  </si>
  <si>
    <t>V000608</t>
  </si>
  <si>
    <t>SALAME AHUMADO</t>
  </si>
  <si>
    <t>V000613</t>
  </si>
  <si>
    <t>V000619</t>
  </si>
  <si>
    <t>AGUA MINERAL MINI</t>
  </si>
  <si>
    <t>V000644</t>
  </si>
  <si>
    <t>MANGO</t>
  </si>
  <si>
    <t>1301 - ACANAV</t>
  </si>
  <si>
    <t>QUESO LAMINADO</t>
  </si>
  <si>
    <t>V000664</t>
  </si>
  <si>
    <t>RUCULA</t>
  </si>
  <si>
    <t>V000674</t>
  </si>
  <si>
    <t>FRUTILLAS EN CONSERVA</t>
  </si>
  <si>
    <t>V000679</t>
  </si>
  <si>
    <t>TOMATE COCKTAIL</t>
  </si>
  <si>
    <t>V000684</t>
  </si>
  <si>
    <t>BERBERECHOS</t>
  </si>
  <si>
    <t>V000687</t>
  </si>
  <si>
    <t>V000689</t>
  </si>
  <si>
    <t>V000692</t>
  </si>
  <si>
    <t>PI?A NATURAL</t>
  </si>
  <si>
    <t>V000699</t>
  </si>
  <si>
    <t>BROCOLIS CONGELADO</t>
  </si>
  <si>
    <t>V000728</t>
  </si>
  <si>
    <t>AJO</t>
  </si>
  <si>
    <t>V000739</t>
  </si>
  <si>
    <t>LEVADURA EN LIBRAS</t>
  </si>
  <si>
    <t>V000744</t>
  </si>
  <si>
    <t>FRAMBUESAS CONGELADAS</t>
  </si>
  <si>
    <t>V000748</t>
  </si>
  <si>
    <t>POLVO PARA HELADO</t>
  </si>
  <si>
    <t>V000749</t>
  </si>
  <si>
    <t>HUMO LIQUIDO</t>
  </si>
  <si>
    <t>V000773</t>
  </si>
  <si>
    <t>PIMENTON EN POLVO</t>
  </si>
  <si>
    <t>V000774</t>
  </si>
  <si>
    <t>MERENGUE</t>
  </si>
  <si>
    <t>V000775</t>
  </si>
  <si>
    <t>V000809</t>
  </si>
  <si>
    <t>MORRON VERDE</t>
  </si>
  <si>
    <t>V000815</t>
  </si>
  <si>
    <t>V000822</t>
  </si>
  <si>
    <t>BERENJENAS</t>
  </si>
  <si>
    <t>V000830</t>
  </si>
  <si>
    <t>JUGO DE LIMON</t>
  </si>
  <si>
    <t>V000839</t>
  </si>
  <si>
    <t>V000840</t>
  </si>
  <si>
    <t>JAMON SANDWICH LAMINADO</t>
  </si>
  <si>
    <t>V000849</t>
  </si>
  <si>
    <t>CHORIZOS</t>
  </si>
  <si>
    <t>V000850</t>
  </si>
  <si>
    <t>PATE DE CERDO</t>
  </si>
  <si>
    <t>V000851</t>
  </si>
  <si>
    <t>PATE DE AVE</t>
  </si>
  <si>
    <t>V000856</t>
  </si>
  <si>
    <t>QUESO ENTERO</t>
  </si>
  <si>
    <t>V000864</t>
  </si>
  <si>
    <t>NECTAR NARANJA LIGTH</t>
  </si>
  <si>
    <t>V000876</t>
  </si>
  <si>
    <t>PAN TAPADITO</t>
  </si>
  <si>
    <t>V000877</t>
  </si>
  <si>
    <t>PAN GRISINES</t>
  </si>
  <si>
    <t>V000882</t>
  </si>
  <si>
    <t>GOLAZO</t>
  </si>
  <si>
    <t>V000890</t>
  </si>
  <si>
    <t>OBLEA BON O BON</t>
  </si>
  <si>
    <t>V000898</t>
  </si>
  <si>
    <t>SAL TRADICIONAL</t>
  </si>
  <si>
    <t>V000923</t>
  </si>
  <si>
    <t>V000941</t>
  </si>
  <si>
    <t>GALLETA FRAC</t>
  </si>
  <si>
    <t>V000950</t>
  </si>
  <si>
    <t>V000959</t>
  </si>
  <si>
    <t>VACUNO LOMO LISO PARAGUAYO</t>
  </si>
  <si>
    <t>V000966</t>
  </si>
  <si>
    <t>QUESO MANTECOSO</t>
  </si>
  <si>
    <t>V000975</t>
  </si>
  <si>
    <t>MANJAR EN BOLSA</t>
  </si>
  <si>
    <t>V000976</t>
  </si>
  <si>
    <t>ARANDANOS</t>
  </si>
  <si>
    <t>V000980</t>
  </si>
  <si>
    <t>V000981</t>
  </si>
  <si>
    <t>QUESO</t>
  </si>
  <si>
    <t>V000993</t>
  </si>
  <si>
    <t>V001008</t>
  </si>
  <si>
    <t>CHOCLO EN TROZOS</t>
  </si>
  <si>
    <t>V001018</t>
  </si>
  <si>
    <t>MOSTAZA EN SOBRE</t>
  </si>
  <si>
    <t>V001026</t>
  </si>
  <si>
    <t>MASA EMPANADAS</t>
  </si>
  <si>
    <t>V001034</t>
  </si>
  <si>
    <t>COLORANTE VEGETAL</t>
  </si>
  <si>
    <t>V001040</t>
  </si>
  <si>
    <t>JAMON ARTESANAL</t>
  </si>
  <si>
    <t>JAMON DE PAVO</t>
  </si>
  <si>
    <t>V001050</t>
  </si>
  <si>
    <t>AGUA MINERAL C/GAS 500CC</t>
  </si>
  <si>
    <t>V001052</t>
  </si>
  <si>
    <t>PAN PITA</t>
  </si>
  <si>
    <t>V001060</t>
  </si>
  <si>
    <t>V001064</t>
  </si>
  <si>
    <t>V001074</t>
  </si>
  <si>
    <t>QUESO FRESCO</t>
  </si>
  <si>
    <t>V001091</t>
  </si>
  <si>
    <t>LONGANIZA</t>
  </si>
  <si>
    <t>V001101</t>
  </si>
  <si>
    <t>V001102</t>
  </si>
  <si>
    <t>ENDULZANTE LIQUIDO</t>
  </si>
  <si>
    <t>V001106</t>
  </si>
  <si>
    <t>LECHUGA CONCONINA</t>
  </si>
  <si>
    <t>V001116</t>
  </si>
  <si>
    <t>PURE DE PALTA</t>
  </si>
  <si>
    <t>V001124</t>
  </si>
  <si>
    <t>TABLA QUESO</t>
  </si>
  <si>
    <t>V001154</t>
  </si>
  <si>
    <t>AGUA SABORIZADA</t>
  </si>
  <si>
    <t>V001157</t>
  </si>
  <si>
    <t>FRUTOS SECOS</t>
  </si>
  <si>
    <t>V001161</t>
  </si>
  <si>
    <t>MANTEQUILLA 125 GRS</t>
  </si>
  <si>
    <t>V001162</t>
  </si>
  <si>
    <t>MANTEQUILLA 250 GRS</t>
  </si>
  <si>
    <t>V001163</t>
  </si>
  <si>
    <t>PIMENTON VERDE NATURAL</t>
  </si>
  <si>
    <t>V001164</t>
  </si>
  <si>
    <t>PIMENTON AMARILLO NATURAL</t>
  </si>
  <si>
    <t>V001165</t>
  </si>
  <si>
    <t>CALDO CONCENTRADO POLLO</t>
  </si>
  <si>
    <t>V001166</t>
  </si>
  <si>
    <t>CALDO CONCENTRADO VACUNO</t>
  </si>
  <si>
    <t>V001167</t>
  </si>
  <si>
    <t>CALDO CONCENTRADO COSTILLA</t>
  </si>
  <si>
    <t>V001175</t>
  </si>
  <si>
    <t>TOCINO AHUMADO</t>
  </si>
  <si>
    <t>V001176</t>
  </si>
  <si>
    <t>JUGO LIMON 500 ML</t>
  </si>
  <si>
    <t>V001179</t>
  </si>
  <si>
    <t>ZAPALLO CAMOTE</t>
  </si>
  <si>
    <t>V001183</t>
  </si>
  <si>
    <t>CREMA PARA BATIR 200CC</t>
  </si>
  <si>
    <t>V001184</t>
  </si>
  <si>
    <t>SUCEDANEO LIMON 250 CC</t>
  </si>
  <si>
    <t>V001185</t>
  </si>
  <si>
    <t>AGUA MINERAL 1.5 LTS</t>
  </si>
  <si>
    <t>V001193</t>
  </si>
  <si>
    <t>V001196</t>
  </si>
  <si>
    <t>DULCE MORA 500 GRS</t>
  </si>
  <si>
    <t>V000001</t>
  </si>
  <si>
    <t>ABLANDADOR DE CARNE</t>
  </si>
  <si>
    <t>V000003</t>
  </si>
  <si>
    <t>ACEITUNA RELLENA</t>
  </si>
  <si>
    <t>V000011</t>
  </si>
  <si>
    <t>V000016</t>
  </si>
  <si>
    <t>ALCACHOFAS NATURAL</t>
  </si>
  <si>
    <t>V000019</t>
  </si>
  <si>
    <t>V000024</t>
  </si>
  <si>
    <t>MANZANA DESHIDRATADA</t>
  </si>
  <si>
    <t>V000026</t>
  </si>
  <si>
    <t>ATUN EN CONSERVA ACEITE</t>
  </si>
  <si>
    <t>V000027</t>
  </si>
  <si>
    <t>ATUN EN CONSERVA AGUA</t>
  </si>
  <si>
    <t>BROCOLIS CONGELADOS</t>
  </si>
  <si>
    <t>V000039</t>
  </si>
  <si>
    <t>CABECITA ESPARRAGO</t>
  </si>
  <si>
    <t>V000043</t>
  </si>
  <si>
    <t>CALAMAR CONGELADO</t>
  </si>
  <si>
    <t>V000046</t>
  </si>
  <si>
    <t>CAMARONES</t>
  </si>
  <si>
    <t>V000057</t>
  </si>
  <si>
    <t>CEBOLLA PERLAS</t>
  </si>
  <si>
    <t>V000066</t>
  </si>
  <si>
    <t>CHOCLO ENTERO CONGELADO</t>
  </si>
  <si>
    <t>V000075</t>
  </si>
  <si>
    <t>CHOLGAS CONSERVA</t>
  </si>
  <si>
    <t>V000076</t>
  </si>
  <si>
    <t>CHORICILLOS</t>
  </si>
  <si>
    <t>V000077</t>
  </si>
  <si>
    <t>CHORITOS CONSERVA AL NATURAL</t>
  </si>
  <si>
    <t>V000080</t>
  </si>
  <si>
    <t>CHUCHOCA</t>
  </si>
  <si>
    <t>V000084</t>
  </si>
  <si>
    <t>CIRUELAS NATURAL</t>
  </si>
  <si>
    <t>V000085</t>
  </si>
  <si>
    <t>CIRUELAS SECAS</t>
  </si>
  <si>
    <t>V000087</t>
  </si>
  <si>
    <t>V000089</t>
  </si>
  <si>
    <t>COLIFLORES CONGELADOS</t>
  </si>
  <si>
    <t>V000092</t>
  </si>
  <si>
    <t>COLORANTE VEGETAL POLVO</t>
  </si>
  <si>
    <t>V000102</t>
  </si>
  <si>
    <t>CREMA CAFE</t>
  </si>
  <si>
    <t>V000104</t>
  </si>
  <si>
    <t>CREMA CHANTYLLI POLVO</t>
  </si>
  <si>
    <t>V000116</t>
  </si>
  <si>
    <t>V000118</t>
  </si>
  <si>
    <t>ESCENCIA DE ALMENDRAS</t>
  </si>
  <si>
    <t>V000120</t>
  </si>
  <si>
    <t>ESENCIA DE ANIS</t>
  </si>
  <si>
    <t>V000121</t>
  </si>
  <si>
    <t>ESPARRAGO CONGELADO</t>
  </si>
  <si>
    <t>V000122</t>
  </si>
  <si>
    <t>ESPINACAS CONGELADAS</t>
  </si>
  <si>
    <t>V000126</t>
  </si>
  <si>
    <t>FIDEOS SOPAS</t>
  </si>
  <si>
    <t>V000130</t>
  </si>
  <si>
    <t>FRAMBUEZAS CONGELADAS</t>
  </si>
  <si>
    <t>V000134</t>
  </si>
  <si>
    <t>GALLETA OBLEA ALTEZA</t>
  </si>
  <si>
    <t>V000138</t>
  </si>
  <si>
    <t>GALLETAS FIRST</t>
  </si>
  <si>
    <t>V000139</t>
  </si>
  <si>
    <t>GALLETAS LEIBNIZ</t>
  </si>
  <si>
    <t>V000152</t>
  </si>
  <si>
    <t>JAMONADA</t>
  </si>
  <si>
    <t>V000161</t>
  </si>
  <si>
    <t>LASAG?A</t>
  </si>
  <si>
    <t>V000165</t>
  </si>
  <si>
    <t>LECHE DE COCO</t>
  </si>
  <si>
    <t>V000172</t>
  </si>
  <si>
    <t>LECHUGAS MILANESAS</t>
  </si>
  <si>
    <t>V000181</t>
  </si>
  <si>
    <t>MACEDONIA</t>
  </si>
  <si>
    <t>V000189</t>
  </si>
  <si>
    <t>MANI MIX</t>
  </si>
  <si>
    <t>V000195</t>
  </si>
  <si>
    <t>MARRASQUINO</t>
  </si>
  <si>
    <t>V000198</t>
  </si>
  <si>
    <t>MELON CALAME?O</t>
  </si>
  <si>
    <t>V000199</t>
  </si>
  <si>
    <t>MELON TUNA</t>
  </si>
  <si>
    <t>V000201</t>
  </si>
  <si>
    <t>V000204</t>
  </si>
  <si>
    <t>MORAS CONGELADAS</t>
  </si>
  <si>
    <t>V000208</t>
  </si>
  <si>
    <t>MOSTAZA FRASCO</t>
  </si>
  <si>
    <t>V000212</t>
  </si>
  <si>
    <t>V000213</t>
  </si>
  <si>
    <t>NUEZ MOSCADA</t>
  </si>
  <si>
    <t>V000220</t>
  </si>
  <si>
    <t>PAPAS PRINGLES</t>
  </si>
  <si>
    <t>V000226</t>
  </si>
  <si>
    <t>PEPINILLOS</t>
  </si>
  <si>
    <t>V000227</t>
  </si>
  <si>
    <t>V000228</t>
  </si>
  <si>
    <t>PEPINO FRUTA</t>
  </si>
  <si>
    <t>V000237</t>
  </si>
  <si>
    <t>PIMENTON ROJO CONSERVA</t>
  </si>
  <si>
    <t>V000240</t>
  </si>
  <si>
    <t>PIMIENTA NEGRA EN FRASCO</t>
  </si>
  <si>
    <t>V000252</t>
  </si>
  <si>
    <t>POROTOS NEGROS</t>
  </si>
  <si>
    <t>V000257</t>
  </si>
  <si>
    <t>PULPA DE FRUTA CONGELADA</t>
  </si>
  <si>
    <t>V000264</t>
  </si>
  <si>
    <t>QUESO BRIE</t>
  </si>
  <si>
    <t>V000266</t>
  </si>
  <si>
    <t>QUESO CAMMENBERG</t>
  </si>
  <si>
    <t>V000267</t>
  </si>
  <si>
    <t>QUESO CHANCO</t>
  </si>
  <si>
    <t>V000275</t>
  </si>
  <si>
    <t>QUESO MOZARELLA</t>
  </si>
  <si>
    <t>V000281</t>
  </si>
  <si>
    <t>REFRESCO EN POLVO</t>
  </si>
  <si>
    <t>V000285</t>
  </si>
  <si>
    <t>ROMERO</t>
  </si>
  <si>
    <t>V000287</t>
  </si>
  <si>
    <t>SAL DE MESA</t>
  </si>
  <si>
    <t>V000288</t>
  </si>
  <si>
    <t>SALAMIN</t>
  </si>
  <si>
    <t>V000295</t>
  </si>
  <si>
    <t>SALSA DE FRAMBUESA</t>
  </si>
  <si>
    <t>V000296</t>
  </si>
  <si>
    <t>SALSA DE FRUTILLA</t>
  </si>
  <si>
    <t>V000299</t>
  </si>
  <si>
    <t>SALSA INGLESA</t>
  </si>
  <si>
    <t>V000306</t>
  </si>
  <si>
    <t>SEMOLA CON LECHE</t>
  </si>
  <si>
    <t>V000311</t>
  </si>
  <si>
    <t>TE BOLSITAS 20 NR</t>
  </si>
  <si>
    <t>V000314</t>
  </si>
  <si>
    <t>V000334</t>
  </si>
  <si>
    <t>CAFE GRANO MOLIDO</t>
  </si>
  <si>
    <t>V000340</t>
  </si>
  <si>
    <t>V000344</t>
  </si>
  <si>
    <t>MASA PARA TACOS</t>
  </si>
  <si>
    <t>V000354</t>
  </si>
  <si>
    <t>RAVIOLES</t>
  </si>
  <si>
    <t>V000355</t>
  </si>
  <si>
    <t>FRUTILLAS AL JUGO</t>
  </si>
  <si>
    <t>V000357</t>
  </si>
  <si>
    <t>V000360</t>
  </si>
  <si>
    <t>LECHE EN POLVO</t>
  </si>
  <si>
    <t>SALSA ESPA?OLA</t>
  </si>
  <si>
    <t>V000377</t>
  </si>
  <si>
    <t>PAPAS PREFRITAS</t>
  </si>
  <si>
    <t>V000381</t>
  </si>
  <si>
    <t>COLIFLOR</t>
  </si>
  <si>
    <t>V000382</t>
  </si>
  <si>
    <t>ESPINACA</t>
  </si>
  <si>
    <t>V000384</t>
  </si>
  <si>
    <t>MELON</t>
  </si>
  <si>
    <t>V000385</t>
  </si>
  <si>
    <t>SANDIA</t>
  </si>
  <si>
    <t>V000392</t>
  </si>
  <si>
    <t>V000398</t>
  </si>
  <si>
    <t>CHOCOLATE AMARGO</t>
  </si>
  <si>
    <t>V000399</t>
  </si>
  <si>
    <t>CHOCOLATE DULCE</t>
  </si>
  <si>
    <t>V000403</t>
  </si>
  <si>
    <t>V000405</t>
  </si>
  <si>
    <t>V000407</t>
  </si>
  <si>
    <t>V000410</t>
  </si>
  <si>
    <t>HAMBURGUESA DE POLLO</t>
  </si>
  <si>
    <t>V000412</t>
  </si>
  <si>
    <t>JUGO EN POLVO SPRIM</t>
  </si>
  <si>
    <t>V000413</t>
  </si>
  <si>
    <t>V000421</t>
  </si>
  <si>
    <t>PAPAS FRITAS</t>
  </si>
  <si>
    <t>V000431</t>
  </si>
  <si>
    <t>CEREZAS NATURALES</t>
  </si>
  <si>
    <t>V000432</t>
  </si>
  <si>
    <t>CREMA TOMATES</t>
  </si>
  <si>
    <t>CREMA POLLO</t>
  </si>
  <si>
    <t>V000446</t>
  </si>
  <si>
    <t>CLAVOS DE OLOR</t>
  </si>
  <si>
    <t>V000451</t>
  </si>
  <si>
    <t>SALSA TOMATE</t>
  </si>
  <si>
    <t>V000455</t>
  </si>
  <si>
    <t>SALSA DE CARNE</t>
  </si>
  <si>
    <t>V000457</t>
  </si>
  <si>
    <t>ACEITE</t>
  </si>
  <si>
    <t>V000460</t>
  </si>
  <si>
    <t>ESPARRAGOS</t>
  </si>
  <si>
    <t>V000461</t>
  </si>
  <si>
    <t>CHORITOS AHUMADOS</t>
  </si>
  <si>
    <t>CAFE HAITI</t>
  </si>
  <si>
    <t>V000472</t>
  </si>
  <si>
    <t>SALAME LAMINADO</t>
  </si>
  <si>
    <t>V000488</t>
  </si>
  <si>
    <t>CHOCLO EN PASTA</t>
  </si>
  <si>
    <t>V000490</t>
  </si>
  <si>
    <t>SURTIDO CALDILLO</t>
  </si>
  <si>
    <t>V000492</t>
  </si>
  <si>
    <t>GALLETAS CRIOLLITAS</t>
  </si>
  <si>
    <t>V000495</t>
  </si>
  <si>
    <t>JUGOS CONCENTRADOS</t>
  </si>
  <si>
    <t>V000497</t>
  </si>
  <si>
    <t>PULPA DE PALTA</t>
  </si>
  <si>
    <t>V000498</t>
  </si>
  <si>
    <t>SALSA PARA PANQUEQUE</t>
  </si>
  <si>
    <t>V000501</t>
  </si>
  <si>
    <t>TORTILLA COMIDA MEXICANA</t>
  </si>
  <si>
    <t>ESTRAGON</t>
  </si>
  <si>
    <t>V000507</t>
  </si>
  <si>
    <t>V000511</t>
  </si>
  <si>
    <t>CONCENTRADO DE TOMATE</t>
  </si>
  <si>
    <t>V000512</t>
  </si>
  <si>
    <t>CAFE EN SOBRES</t>
  </si>
  <si>
    <t>V000515</t>
  </si>
  <si>
    <t>SALSA BLANCA</t>
  </si>
  <si>
    <t>V000516</t>
  </si>
  <si>
    <t>V000521</t>
  </si>
  <si>
    <t>V000527</t>
  </si>
  <si>
    <t>LIMON DE PICA</t>
  </si>
  <si>
    <t>V000529</t>
  </si>
  <si>
    <t>CILANTRO DESHIDRATADO</t>
  </si>
  <si>
    <t>V000533</t>
  </si>
  <si>
    <t>V000540</t>
  </si>
  <si>
    <t>CARNE VEGETAL</t>
  </si>
  <si>
    <t>V000546</t>
  </si>
  <si>
    <t>BEBIDA 2 LT.</t>
  </si>
  <si>
    <t>V000550</t>
  </si>
  <si>
    <t>TARTALETA DE FRUTA</t>
  </si>
  <si>
    <t>V000552</t>
  </si>
  <si>
    <t>TUNAS</t>
  </si>
  <si>
    <t>V000557</t>
  </si>
  <si>
    <t>CASSATA VIENETTA</t>
  </si>
  <si>
    <t>V000563</t>
  </si>
  <si>
    <t>POROTO NEGRO</t>
  </si>
  <si>
    <t>V000567</t>
  </si>
  <si>
    <t>V000572</t>
  </si>
  <si>
    <t>SESAMO</t>
  </si>
  <si>
    <t>V000575</t>
  </si>
  <si>
    <t>GALLETAS TUARE</t>
  </si>
  <si>
    <t>V000581</t>
  </si>
  <si>
    <t>GALLETAS DONUDS</t>
  </si>
  <si>
    <t>V000585</t>
  </si>
  <si>
    <t>QUEQUE</t>
  </si>
  <si>
    <t>V000587</t>
  </si>
  <si>
    <t>TE CON CANELA</t>
  </si>
  <si>
    <t>V000588</t>
  </si>
  <si>
    <t>TOCINO LAMINADO</t>
  </si>
  <si>
    <t>MILO</t>
  </si>
  <si>
    <t>V000600</t>
  </si>
  <si>
    <t>MANDARINAS</t>
  </si>
  <si>
    <t>V000606</t>
  </si>
  <si>
    <t>ARROLLADO HUASO</t>
  </si>
  <si>
    <t>V000610</t>
  </si>
  <si>
    <t>ZAPALLO CONGELADO</t>
  </si>
  <si>
    <t>V000622</t>
  </si>
  <si>
    <t>DELI CREAM</t>
  </si>
  <si>
    <t>V000629</t>
  </si>
  <si>
    <t>V000635</t>
  </si>
  <si>
    <t>V000636</t>
  </si>
  <si>
    <t>CROQUETAS</t>
  </si>
  <si>
    <t>V000640</t>
  </si>
  <si>
    <t>TU Y YO</t>
  </si>
  <si>
    <t>V000648</t>
  </si>
  <si>
    <t>MAYONESA EN SOBRES</t>
  </si>
  <si>
    <t>V000649</t>
  </si>
  <si>
    <t>PASTA DE AVE</t>
  </si>
  <si>
    <t>V000650</t>
  </si>
  <si>
    <t>PASTA DE JAMON</t>
  </si>
  <si>
    <t>V000651</t>
  </si>
  <si>
    <t>DIENTE DRAGON</t>
  </si>
  <si>
    <t>V000665</t>
  </si>
  <si>
    <t>PASTELES DULCES</t>
  </si>
  <si>
    <t>V000666</t>
  </si>
  <si>
    <t>TE BOLSITAS 50 NR</t>
  </si>
  <si>
    <t>V000680</t>
  </si>
  <si>
    <t>CAMARON ECUATORIANO</t>
  </si>
  <si>
    <t>V000685</t>
  </si>
  <si>
    <t>QUESO FUNDO LAMINADO</t>
  </si>
  <si>
    <t>V000686</t>
  </si>
  <si>
    <t>QUESO FUNDO TROZADO</t>
  </si>
  <si>
    <t>V000691</t>
  </si>
  <si>
    <t>SALSA PARA TACOS</t>
  </si>
  <si>
    <t>V000698</t>
  </si>
  <si>
    <t>V000702</t>
  </si>
  <si>
    <t>CHOCO CEREAL</t>
  </si>
  <si>
    <t>V000705</t>
  </si>
  <si>
    <t>NECTAR DAMASCO INDIVIDUAL</t>
  </si>
  <si>
    <t>JUGO DE PI?A INDIVIDUAL</t>
  </si>
  <si>
    <t>V000708</t>
  </si>
  <si>
    <t>NECTAR DE MANZANA INDIVIDUAL</t>
  </si>
  <si>
    <t>V000709</t>
  </si>
  <si>
    <t>CEREAL ZUCUSO</t>
  </si>
  <si>
    <t>V000711</t>
  </si>
  <si>
    <t>NECTAR DURAZNO INDIVIDUAL</t>
  </si>
  <si>
    <t>V000713</t>
  </si>
  <si>
    <t>GALLETA ALTEZA CHIRIMOYA</t>
  </si>
  <si>
    <t>V000714</t>
  </si>
  <si>
    <t>GALLETA ALTEZA HELADO</t>
  </si>
  <si>
    <t>V000715</t>
  </si>
  <si>
    <t>GALLETA ALTEZA FRUTILLA</t>
  </si>
  <si>
    <t>V000720</t>
  </si>
  <si>
    <t>KUTCHEN</t>
  </si>
  <si>
    <t>V000723</t>
  </si>
  <si>
    <t>JAMON AHUMADO</t>
  </si>
  <si>
    <t>V000724</t>
  </si>
  <si>
    <t>ZAPALLO BOLA</t>
  </si>
  <si>
    <t>V000730</t>
  </si>
  <si>
    <t>V000734</t>
  </si>
  <si>
    <t>CHOCLO NATURAL AMERICANO</t>
  </si>
  <si>
    <t>V000735</t>
  </si>
  <si>
    <t>CHOCLO NATURAL HUMERO</t>
  </si>
  <si>
    <t>V000743</t>
  </si>
  <si>
    <t>JAMON SERRANO</t>
  </si>
  <si>
    <t>V000747</t>
  </si>
  <si>
    <t>AJI DIAGUITAS</t>
  </si>
  <si>
    <t>V000754</t>
  </si>
  <si>
    <t>YOGURT CON TROZOS</t>
  </si>
  <si>
    <t>V000756</t>
  </si>
  <si>
    <t>PUERROS</t>
  </si>
  <si>
    <t>V000757</t>
  </si>
  <si>
    <t>V000758</t>
  </si>
  <si>
    <t>MASAS PHILO</t>
  </si>
  <si>
    <t>V000761</t>
  </si>
  <si>
    <t>PATE DE CAMPO</t>
  </si>
  <si>
    <t>V000763</t>
  </si>
  <si>
    <t>GALLETA DE COCO</t>
  </si>
  <si>
    <t>V000765</t>
  </si>
  <si>
    <t>V000768</t>
  </si>
  <si>
    <t>JENJIBRE</t>
  </si>
  <si>
    <t>V000770</t>
  </si>
  <si>
    <t>V000784</t>
  </si>
  <si>
    <t>PERNIL CRUDO DE CERDO</t>
  </si>
  <si>
    <t>V000786</t>
  </si>
  <si>
    <t>TOCINO PLANCHA</t>
  </si>
  <si>
    <t>CIRUELA SECA DESCORAZADO</t>
  </si>
  <si>
    <t>V000795</t>
  </si>
  <si>
    <t>BASE DE PESCADO</t>
  </si>
  <si>
    <t>V000799</t>
  </si>
  <si>
    <t>GALLETAS GRILL</t>
  </si>
  <si>
    <t>V000806</t>
  </si>
  <si>
    <t>SESAMO PELADO</t>
  </si>
  <si>
    <t>V000813</t>
  </si>
  <si>
    <t>HELADO CORNETO</t>
  </si>
  <si>
    <t>V000814</t>
  </si>
  <si>
    <t>ACEITE DE MARAVILLA</t>
  </si>
  <si>
    <t>V000819</t>
  </si>
  <si>
    <t>V000820</t>
  </si>
  <si>
    <t>JAMON PRAGA</t>
  </si>
  <si>
    <t>V000821</t>
  </si>
  <si>
    <t>TOMATES EN CONSERVA</t>
  </si>
  <si>
    <t>V000823</t>
  </si>
  <si>
    <t>NEGRITA</t>
  </si>
  <si>
    <t>V000828</t>
  </si>
  <si>
    <t>NARANJA EN BOLSA</t>
  </si>
  <si>
    <t>V000831</t>
  </si>
  <si>
    <t>LIMON NATURAL EN BOLSA</t>
  </si>
  <si>
    <t>V000832</t>
  </si>
  <si>
    <t>CEBOLLA NATURAL EN BOLSA</t>
  </si>
  <si>
    <t>V000833</t>
  </si>
  <si>
    <t>TRIGO DE MOTE</t>
  </si>
  <si>
    <t>V000834</t>
  </si>
  <si>
    <t>V000855</t>
  </si>
  <si>
    <t>AZUCAR GRANULADA</t>
  </si>
  <si>
    <t>V000858</t>
  </si>
  <si>
    <t>PALMITOS DE 800 GRS.</t>
  </si>
  <si>
    <t>V000861</t>
  </si>
  <si>
    <t>ADEREZO</t>
  </si>
  <si>
    <t>V000865</t>
  </si>
  <si>
    <t>GALLETAS DE LIMON</t>
  </si>
  <si>
    <t>V000869</t>
  </si>
  <si>
    <t>GALLETA MINI KUKY</t>
  </si>
  <si>
    <t>V000870</t>
  </si>
  <si>
    <t>GALLETA MINI COCO</t>
  </si>
  <si>
    <t>V000871</t>
  </si>
  <si>
    <t>GALLETA MINI NIZA</t>
  </si>
  <si>
    <t>V000879</t>
  </si>
  <si>
    <t>AJI MERKEN</t>
  </si>
  <si>
    <t>V000881</t>
  </si>
  <si>
    <t>SOPAIPILLAS</t>
  </si>
  <si>
    <t>V000884</t>
  </si>
  <si>
    <t>BROTES DE ALFALFA (BANDEJA)</t>
  </si>
  <si>
    <t>V000889</t>
  </si>
  <si>
    <t>V000891</t>
  </si>
  <si>
    <t>ENDULSANTE EN TABLETAS</t>
  </si>
  <si>
    <t>V000912</t>
  </si>
  <si>
    <t>GALLETAS MINI DIN DON</t>
  </si>
  <si>
    <t>V000913</t>
  </si>
  <si>
    <t>GALLETAS COSTA</t>
  </si>
  <si>
    <t>V000914</t>
  </si>
  <si>
    <t>JAMONADA FREE PACK 150 GR</t>
  </si>
  <si>
    <t>V000917</t>
  </si>
  <si>
    <t>JALEA SIN SABOR</t>
  </si>
  <si>
    <t>V000918</t>
  </si>
  <si>
    <t>GALLETAS DE AGUA</t>
  </si>
  <si>
    <t>V000919</t>
  </si>
  <si>
    <t>JAMONADA FREE PACK</t>
  </si>
  <si>
    <t>V000926</t>
  </si>
  <si>
    <t>SABORIZANTE PARA LA LECHE</t>
  </si>
  <si>
    <t>V000934</t>
  </si>
  <si>
    <t>PULPA DE DURAZNO</t>
  </si>
  <si>
    <t>V000942</t>
  </si>
  <si>
    <t>GALLETA CHOCO CHIPS</t>
  </si>
  <si>
    <t>V000944</t>
  </si>
  <si>
    <t>BARRA NUTRICIONAL PROTEICA</t>
  </si>
  <si>
    <t>CREMA DE CHANPI?ONES</t>
  </si>
  <si>
    <t>V000953</t>
  </si>
  <si>
    <t>PAN PARA COMPLETOS</t>
  </si>
  <si>
    <t>V000957</t>
  </si>
  <si>
    <t>V000960</t>
  </si>
  <si>
    <t>SALASA CESAR O ALFREDO</t>
  </si>
  <si>
    <t>V000961</t>
  </si>
  <si>
    <t>BERRO</t>
  </si>
  <si>
    <t>V000962</t>
  </si>
  <si>
    <t>RUGULA</t>
  </si>
  <si>
    <t>V000963</t>
  </si>
  <si>
    <t>MENTA</t>
  </si>
  <si>
    <t>V000965</t>
  </si>
  <si>
    <t>V000968</t>
  </si>
  <si>
    <t>MERMELADA DE DURAZNO</t>
  </si>
  <si>
    <t>V000969</t>
  </si>
  <si>
    <t>MERMELADA DE MORA</t>
  </si>
  <si>
    <t>V000970</t>
  </si>
  <si>
    <t>MERMELADA DE FRUTILLA</t>
  </si>
  <si>
    <t>V000983</t>
  </si>
  <si>
    <t>HAMBURGESA DE CERDO</t>
  </si>
  <si>
    <t>V000989</t>
  </si>
  <si>
    <t>TAPADITOS</t>
  </si>
  <si>
    <t>V000991</t>
  </si>
  <si>
    <t>TOMATE DESHIDRATADO</t>
  </si>
  <si>
    <t>V000996</t>
  </si>
  <si>
    <t>TE HIERBAS (50 BOLSITAS)</t>
  </si>
  <si>
    <t>SALSA DE TOMATE</t>
  </si>
  <si>
    <t>V001004</t>
  </si>
  <si>
    <t>CONDIMENTO PARA POLLO</t>
  </si>
  <si>
    <t>V001005</t>
  </si>
  <si>
    <t>CONDIMENTO PARA CARNE</t>
  </si>
  <si>
    <t>V001006</t>
  </si>
  <si>
    <t>SAL GRUESA</t>
  </si>
  <si>
    <t>V001009</t>
  </si>
  <si>
    <t>YERBA MATE</t>
  </si>
  <si>
    <t>V001015</t>
  </si>
  <si>
    <t>V001021</t>
  </si>
  <si>
    <t>HELADO CRAZY</t>
  </si>
  <si>
    <t>V001023</t>
  </si>
  <si>
    <t>GALLETAS DELI COOKIES</t>
  </si>
  <si>
    <t>V001025</t>
  </si>
  <si>
    <t>FRUTA LISTA</t>
  </si>
  <si>
    <t>V001027</t>
  </si>
  <si>
    <t>QUESO REGGIANITO HEBRAS</t>
  </si>
  <si>
    <t>V001032</t>
  </si>
  <si>
    <t>V001038</t>
  </si>
  <si>
    <t>AGUA PURIFICADA 20 LITROS</t>
  </si>
  <si>
    <t>V001039</t>
  </si>
  <si>
    <t>COUSCOUS</t>
  </si>
  <si>
    <t>V001043</t>
  </si>
  <si>
    <t>V001046</t>
  </si>
  <si>
    <t>YOGURT UNO MAS UNO</t>
  </si>
  <si>
    <t>V001047</t>
  </si>
  <si>
    <t>MORRON AMARILLO</t>
  </si>
  <si>
    <t>V001049</t>
  </si>
  <si>
    <t>AGUA MINERAL SIN GAS 1,6 LT</t>
  </si>
  <si>
    <t>CAFE DESCAFEINADO</t>
  </si>
  <si>
    <t>V001053</t>
  </si>
  <si>
    <t>GALLETA DE VINO</t>
  </si>
  <si>
    <t>V001059</t>
  </si>
  <si>
    <t>PULPA DE CHIRIMOYA</t>
  </si>
  <si>
    <t>MILO EN POLVO</t>
  </si>
  <si>
    <t>V001066</t>
  </si>
  <si>
    <t>LECHE INDIVIDUAL LIGHT</t>
  </si>
  <si>
    <t>V001070</t>
  </si>
  <si>
    <t>CAFE JUAN VALDEZ</t>
  </si>
  <si>
    <t>V001071</t>
  </si>
  <si>
    <t>V001073</t>
  </si>
  <si>
    <t>CRUTONES</t>
  </si>
  <si>
    <t>V001077</t>
  </si>
  <si>
    <t>ACEITE VEGETAL 900 ML</t>
  </si>
  <si>
    <t>V001088</t>
  </si>
  <si>
    <t>V001090</t>
  </si>
  <si>
    <t>CURCUMA</t>
  </si>
  <si>
    <t>V001092</t>
  </si>
  <si>
    <t>CHAMPI?ON LAMINADO</t>
  </si>
  <si>
    <t>V001095</t>
  </si>
  <si>
    <t>JALEA</t>
  </si>
  <si>
    <t>V001105</t>
  </si>
  <si>
    <t>SALCHICHON CERVECERO</t>
  </si>
  <si>
    <t>V001107</t>
  </si>
  <si>
    <t>MEJORADOR DE MASA</t>
  </si>
  <si>
    <t>V001109</t>
  </si>
  <si>
    <t>CUS CUS</t>
  </si>
  <si>
    <t>V001112</t>
  </si>
  <si>
    <t>CHOCLO TROZO CONGELADO</t>
  </si>
  <si>
    <t>V001114</t>
  </si>
  <si>
    <t>GALLETAS OBSESION</t>
  </si>
  <si>
    <t>V001120</t>
  </si>
  <si>
    <t>PAN HAMBURGUESA</t>
  </si>
  <si>
    <t>V001123</t>
  </si>
  <si>
    <t>ACEITUNAS RELLENAS</t>
  </si>
  <si>
    <t>V001126</t>
  </si>
  <si>
    <t>V001127</t>
  </si>
  <si>
    <t>V001131</t>
  </si>
  <si>
    <t>PLATANO DESHIDRATADO</t>
  </si>
  <si>
    <t>V001135</t>
  </si>
  <si>
    <t>CHORICILLO</t>
  </si>
  <si>
    <t>V001136</t>
  </si>
  <si>
    <t>LECHE CULTIVADA</t>
  </si>
  <si>
    <t>V001137</t>
  </si>
  <si>
    <t>V001138</t>
  </si>
  <si>
    <t>PANCHITO</t>
  </si>
  <si>
    <t>V001141</t>
  </si>
  <si>
    <t>CHOCOLATE LEBLON</t>
  </si>
  <si>
    <t>V001144</t>
  </si>
  <si>
    <t>CHAPSUI</t>
  </si>
  <si>
    <t>V001145</t>
  </si>
  <si>
    <t>V001146</t>
  </si>
  <si>
    <t>TORTAZO</t>
  </si>
  <si>
    <t>V001155</t>
  </si>
  <si>
    <t>PREMEZCLA CHOCOLATE</t>
  </si>
  <si>
    <t>V001156</t>
  </si>
  <si>
    <t>PREMEZCLA VAINILLA</t>
  </si>
  <si>
    <t>V000002</t>
  </si>
  <si>
    <t>V000032</t>
  </si>
  <si>
    <t>BABAROISE</t>
  </si>
  <si>
    <t>V000144</t>
  </si>
  <si>
    <t>HARINA INTEGRAL</t>
  </si>
  <si>
    <t>V000235</t>
  </si>
  <si>
    <t>V000270</t>
  </si>
  <si>
    <t>QUESO EDAMS</t>
  </si>
  <si>
    <t>V000327</t>
  </si>
  <si>
    <t>VINO BOTELLA</t>
  </si>
  <si>
    <t>V000352</t>
  </si>
  <si>
    <t>ACEITUNA SEVILLANA</t>
  </si>
  <si>
    <t>V000402</t>
  </si>
  <si>
    <t>FIDEOS SURTIDOS</t>
  </si>
  <si>
    <t>V000657</t>
  </si>
  <si>
    <t>LECHE NEVADA</t>
  </si>
  <si>
    <t>V000672</t>
  </si>
  <si>
    <t>LIMONETA MINI 12 CC</t>
  </si>
  <si>
    <t>V000782</t>
  </si>
  <si>
    <t>QUESO MOZARELA</t>
  </si>
  <si>
    <t>V000802</t>
  </si>
  <si>
    <t>ESCALOPA DE POLLO</t>
  </si>
  <si>
    <t>V000841</t>
  </si>
  <si>
    <t>POLLO ENTERO</t>
  </si>
  <si>
    <t>V000848</t>
  </si>
  <si>
    <t>BAVAROIS LIMON</t>
  </si>
  <si>
    <t>V000988</t>
  </si>
  <si>
    <t>V001076</t>
  </si>
  <si>
    <t>HUEVO DESHIDRATADO</t>
  </si>
  <si>
    <t>V001081</t>
  </si>
  <si>
    <t>JALEA DE PI?A</t>
  </si>
  <si>
    <t>V001082</t>
  </si>
  <si>
    <t>JALEA DE NARANJA</t>
  </si>
  <si>
    <t>V001130</t>
  </si>
  <si>
    <t>V001177</t>
  </si>
  <si>
    <t>MERMELADA SACHET</t>
  </si>
  <si>
    <t>V001181</t>
  </si>
  <si>
    <t>CHOCOLATE PRESTIGIO</t>
  </si>
  <si>
    <t>V000029</t>
  </si>
  <si>
    <t>AVENA QUAKER TRADICIONAL</t>
  </si>
  <si>
    <t>V000128</t>
  </si>
  <si>
    <t>FONDITOS DE ALCACHOFAS</t>
  </si>
  <si>
    <t>V000143</t>
  </si>
  <si>
    <t>HAMBURGUESAS</t>
  </si>
  <si>
    <t>V000153</t>
  </si>
  <si>
    <t>V000182</t>
  </si>
  <si>
    <t>MACHAS CONGELADAS</t>
  </si>
  <si>
    <t>V000291</t>
  </si>
  <si>
    <t>SALMON FILETEADO CONGELADO</t>
  </si>
  <si>
    <t>V000474</t>
  </si>
  <si>
    <t>EMPANADAS DE QUESO</t>
  </si>
  <si>
    <t>V000483</t>
  </si>
  <si>
    <t>SOFRITO</t>
  </si>
  <si>
    <t>V000615</t>
  </si>
  <si>
    <t>MASA PREPIZZA</t>
  </si>
  <si>
    <t>V000676</t>
  </si>
  <si>
    <t>MASITAS PARA COCTAIL</t>
  </si>
  <si>
    <t>V000701</t>
  </si>
  <si>
    <t>EMPANADA DE HORNO</t>
  </si>
  <si>
    <t>V000719</t>
  </si>
  <si>
    <t>PIE DE LIMON</t>
  </si>
  <si>
    <t>V000847</t>
  </si>
  <si>
    <t>SALSA QUESO</t>
  </si>
  <si>
    <t>V000920</t>
  </si>
  <si>
    <t>QUESO GRANULADO</t>
  </si>
  <si>
    <t>V000921</t>
  </si>
  <si>
    <t>V000933</t>
  </si>
  <si>
    <t>PULPA DE MANGO</t>
  </si>
  <si>
    <t>V000943</t>
  </si>
  <si>
    <t>ACCEL GEL</t>
  </si>
  <si>
    <t>V000945</t>
  </si>
  <si>
    <t>COMINO ENTERO</t>
  </si>
  <si>
    <t>V001001</t>
  </si>
  <si>
    <t>BARRA DE CHOCOLATE GOLPE</t>
  </si>
  <si>
    <t>V001029</t>
  </si>
  <si>
    <t>SALSA BARBECUE</t>
  </si>
  <si>
    <t>V001031</t>
  </si>
  <si>
    <t>V001096</t>
  </si>
  <si>
    <t>V001097</t>
  </si>
  <si>
    <t>FIDEOS CABELLITOS</t>
  </si>
  <si>
    <t>V001178</t>
  </si>
  <si>
    <t>BEBIDA ENERGETICA POWERADE</t>
  </si>
  <si>
    <t>V000040</t>
  </si>
  <si>
    <t>CACAO EN POLVO</t>
  </si>
  <si>
    <t>V000119</t>
  </si>
  <si>
    <t>ESENCIA DE LIMON</t>
  </si>
  <si>
    <t>V000133</t>
  </si>
  <si>
    <t>FRUTILLAS CONGELADAS</t>
  </si>
  <si>
    <t>V000183</t>
  </si>
  <si>
    <t>MACHAS CONSERVA</t>
  </si>
  <si>
    <t>V000248</t>
  </si>
  <si>
    <t>V000269</t>
  </si>
  <si>
    <t>V000274</t>
  </si>
  <si>
    <t>QUESO GRUYERE</t>
  </si>
  <si>
    <t>V000282</t>
  </si>
  <si>
    <t>REINETA FILETE</t>
  </si>
  <si>
    <t>V000351</t>
  </si>
  <si>
    <t>CAFE</t>
  </si>
  <si>
    <t>V000373</t>
  </si>
  <si>
    <t>SALSA AMERICANA</t>
  </si>
  <si>
    <t>V000598</t>
  </si>
  <si>
    <t>BRAZO REINA</t>
  </si>
  <si>
    <t>V000631</t>
  </si>
  <si>
    <t>RAMITAS</t>
  </si>
  <si>
    <t>V000671</t>
  </si>
  <si>
    <t>PALOMITAS DE MAIZ</t>
  </si>
  <si>
    <t>V000808</t>
  </si>
  <si>
    <t>AMARILLO VEGETAL</t>
  </si>
  <si>
    <t>V000838</t>
  </si>
  <si>
    <t>SALSA PESTO</t>
  </si>
  <si>
    <t>V001042</t>
  </si>
  <si>
    <t>YOGU YOGU 200 CC</t>
  </si>
  <si>
    <t>V001062</t>
  </si>
  <si>
    <t>QUINOA</t>
  </si>
  <si>
    <t>V001113</t>
  </si>
  <si>
    <t>GRANOLA</t>
  </si>
  <si>
    <t>V001191</t>
  </si>
  <si>
    <t>V000316</t>
  </si>
  <si>
    <t>TOMATE CONCENTRADO</t>
  </si>
  <si>
    <t>V000406</t>
  </si>
  <si>
    <t>PERAS EN CONSERVA</t>
  </si>
  <si>
    <t>V000465</t>
  </si>
  <si>
    <t>CHOCLO CONSERVA</t>
  </si>
  <si>
    <t>V000532</t>
  </si>
  <si>
    <t>VACUNO PORCIONADO</t>
  </si>
  <si>
    <t>V000905</t>
  </si>
  <si>
    <t>POLLO ENTERO (COM. LOCAL )</t>
  </si>
  <si>
    <t>V000979</t>
  </si>
  <si>
    <t>V001030</t>
  </si>
  <si>
    <t>AJI PASTA AMARILLO</t>
  </si>
  <si>
    <t>V000035</t>
  </si>
  <si>
    <t>BICARBONATO</t>
  </si>
  <si>
    <t>V000145</t>
  </si>
  <si>
    <t>HARINA TOSTADA</t>
  </si>
  <si>
    <t>V000303</t>
  </si>
  <si>
    <t>SEMILLAS SESAMO</t>
  </si>
  <si>
    <t>V000690</t>
  </si>
  <si>
    <t>TURRON DE MANI</t>
  </si>
  <si>
    <t>V000725</t>
  </si>
  <si>
    <t>ENSALADA RUSA</t>
  </si>
  <si>
    <t>V000750</t>
  </si>
  <si>
    <t>ESENCIA DE NARANJA</t>
  </si>
  <si>
    <t>V000939</t>
  </si>
  <si>
    <t>GALLETA NIK</t>
  </si>
  <si>
    <t>V000030</t>
  </si>
  <si>
    <t>AZAFRAN</t>
  </si>
  <si>
    <t>V000284</t>
  </si>
  <si>
    <t>RICOTA</t>
  </si>
  <si>
    <t>V000292</t>
  </si>
  <si>
    <t>SALMON FRESCO</t>
  </si>
  <si>
    <t>V000508</t>
  </si>
  <si>
    <t>AZUCAR RUBIA</t>
  </si>
  <si>
    <t>V000514</t>
  </si>
  <si>
    <t>V000843</t>
  </si>
  <si>
    <t>POLLO PECHUGA</t>
  </si>
  <si>
    <t>V000922</t>
  </si>
  <si>
    <t>CHUCRUT</t>
  </si>
  <si>
    <t>V001011</t>
  </si>
  <si>
    <t>V001150</t>
  </si>
  <si>
    <t>BAVAROIS PI?A</t>
  </si>
  <si>
    <t>V000688</t>
  </si>
  <si>
    <t>AJI CACHO CABRA</t>
  </si>
  <si>
    <t>V000760</t>
  </si>
  <si>
    <t>SALSA DE OSTRA</t>
  </si>
  <si>
    <t>V000924</t>
  </si>
  <si>
    <t>V000986</t>
  </si>
  <si>
    <t>BAVAROIS NARANJA</t>
  </si>
  <si>
    <t>V000992</t>
  </si>
  <si>
    <t>ESPARRAGO NATURAL</t>
  </si>
  <si>
    <t>V000994</t>
  </si>
  <si>
    <t>ESPARRAGOS EN CONSERVA</t>
  </si>
  <si>
    <t>V001035</t>
  </si>
  <si>
    <t>SANDWICH JAMON QUESO</t>
  </si>
  <si>
    <t>V001125</t>
  </si>
  <si>
    <t>SALSA TARTARA</t>
  </si>
  <si>
    <t>V001180</t>
  </si>
  <si>
    <t>BETARRAGA CONGELADA</t>
  </si>
  <si>
    <t>CERDO FILETE</t>
  </si>
  <si>
    <t>C903421</t>
  </si>
  <si>
    <t>PAVO PECHUGA ENTERA CON HUESO</t>
  </si>
  <si>
    <t>C903424</t>
  </si>
  <si>
    <t>VACUNO TAPAPECHO</t>
  </si>
  <si>
    <t>C903422</t>
  </si>
  <si>
    <t>FORMULA</t>
  </si>
  <si>
    <t>NR 400 gr</t>
  </si>
  <si>
    <t>PQ. (80 g)</t>
  </si>
  <si>
    <t>S/STOCK</t>
  </si>
  <si>
    <t xml:space="preserve">PAN (100 GR) C/PASTA POLLO  </t>
  </si>
  <si>
    <t>V000112</t>
  </si>
  <si>
    <t>V000243</t>
  </si>
  <si>
    <t>PI?A EN TROZO CONGELADA</t>
  </si>
  <si>
    <t>V000263</t>
  </si>
  <si>
    <t>QUESO AHUMADO</t>
  </si>
  <si>
    <t>V000309</t>
  </si>
  <si>
    <t>SURTIDO DE MARISCO</t>
  </si>
  <si>
    <t>V000464</t>
  </si>
  <si>
    <t>V000469</t>
  </si>
  <si>
    <t>V000484</t>
  </si>
  <si>
    <t>DECORACION TORTAS</t>
  </si>
  <si>
    <t>V000645</t>
  </si>
  <si>
    <t>HIELO</t>
  </si>
  <si>
    <t>V000663</t>
  </si>
  <si>
    <t>POLLO TRUTO LARGO</t>
  </si>
  <si>
    <t>V000745</t>
  </si>
  <si>
    <t>DORITOS</t>
  </si>
  <si>
    <t>V000767</t>
  </si>
  <si>
    <t>V000907</t>
  </si>
  <si>
    <t>PULPA DE CERDO ( COM. LOCAL )</t>
  </si>
  <si>
    <t>V000908</t>
  </si>
  <si>
    <t>VACUNO CA. 3 (CARNE MOLIDA COM. LOCAL)</t>
  </si>
  <si>
    <t>V001121</t>
  </si>
  <si>
    <t>MASA FILO</t>
  </si>
  <si>
    <t>V001147</t>
  </si>
  <si>
    <t>CEREAL VIVO INDIVIDUAL</t>
  </si>
  <si>
    <t>V000044</t>
  </si>
  <si>
    <t>CALLAMPAS SECAS</t>
  </si>
  <si>
    <t>V000107</t>
  </si>
  <si>
    <t>V000746</t>
  </si>
  <si>
    <t>SASONADOR</t>
  </si>
  <si>
    <t>V000825</t>
  </si>
  <si>
    <t>CEREAL CORNFLAKES</t>
  </si>
  <si>
    <t>V000880</t>
  </si>
  <si>
    <t>CERDO CHULETA</t>
  </si>
  <si>
    <t>Daniela Palma Cid</t>
  </si>
  <si>
    <t>EC. GDO. 9 Ingeniero de Alimentos</t>
  </si>
  <si>
    <t>JALEA IMPERIAL</t>
  </si>
  <si>
    <t>PESCADO MERLUZA REBOSADA</t>
  </si>
  <si>
    <t>C903005</t>
  </si>
  <si>
    <t>200 grs</t>
  </si>
  <si>
    <t>MERMELADA REGIMEL FRUTILLA</t>
  </si>
  <si>
    <t>MERMELADA REGIMEL DURAZNO</t>
  </si>
  <si>
    <t>C903445</t>
  </si>
  <si>
    <t>C903446</t>
  </si>
  <si>
    <t>4223 - BLANCO</t>
  </si>
  <si>
    <t>V000205</t>
  </si>
  <si>
    <t>MORTADELA</t>
  </si>
  <si>
    <t>V000302</t>
  </si>
  <si>
    <t>SEMILLA AMAPOLA</t>
  </si>
  <si>
    <t>V000353</t>
  </si>
  <si>
    <t>PAN (100 GR) C/ MERMELADA DURAZNO</t>
  </si>
  <si>
    <t>V000012</t>
  </si>
  <si>
    <t>AJI NOMOTO</t>
  </si>
  <si>
    <t>V000058</t>
  </si>
  <si>
    <t>CERDO</t>
  </si>
  <si>
    <t>V000535</t>
  </si>
  <si>
    <t>V000793</t>
  </si>
  <si>
    <t>CREME CHIRIMOYA ALEGRE</t>
  </si>
  <si>
    <t>V000824</t>
  </si>
  <si>
    <t>CEREAL MILO</t>
  </si>
  <si>
    <t>V000827</t>
  </si>
  <si>
    <t>V001188</t>
  </si>
  <si>
    <t>SUPLEMENTO MAGNESIUM AMPULLEN</t>
  </si>
  <si>
    <t>V001192</t>
  </si>
  <si>
    <t>SEMILLA CHIA</t>
  </si>
  <si>
    <t>PAN (100 GR) C/ QUESILLO</t>
  </si>
  <si>
    <t>900 ML</t>
  </si>
  <si>
    <t>ACEITE 900 ML</t>
  </si>
  <si>
    <t>C902636</t>
  </si>
  <si>
    <t>VACUNO HUACHALOMO</t>
  </si>
  <si>
    <t>C903448</t>
  </si>
  <si>
    <t>V000328</t>
  </si>
  <si>
    <t>VINO EN GARRAFA</t>
  </si>
  <si>
    <t>V000595</t>
  </si>
  <si>
    <t>SABORIZANTE EN SOBRE</t>
  </si>
  <si>
    <t>V001197</t>
  </si>
  <si>
    <t>SANDWCHI</t>
  </si>
  <si>
    <t>JALEA NARANJA</t>
  </si>
  <si>
    <t>V000551</t>
  </si>
  <si>
    <t>BRUCELAS</t>
  </si>
  <si>
    <t>V000570</t>
  </si>
  <si>
    <t>V000678</t>
  </si>
  <si>
    <t>V001153</t>
  </si>
  <si>
    <t>SOPA INSTANTANEA</t>
  </si>
  <si>
    <t>JALEA FRAMBUESA</t>
  </si>
  <si>
    <t>GRANOLA 320 GR</t>
  </si>
  <si>
    <t>PZ 320 GR</t>
  </si>
  <si>
    <t>V000232</t>
  </si>
  <si>
    <t>PESCADO FRESCO</t>
  </si>
  <si>
    <t>V000543</t>
  </si>
  <si>
    <t>FRUGELE</t>
  </si>
  <si>
    <t>V000634</t>
  </si>
  <si>
    <t>SUSTANCIAS</t>
  </si>
  <si>
    <t>V000727</t>
  </si>
  <si>
    <t>NISPEROS</t>
  </si>
  <si>
    <t>V000875</t>
  </si>
  <si>
    <t>CARAMELOS</t>
  </si>
  <si>
    <t>ACEITE VEGETAL LT</t>
  </si>
  <si>
    <t>C903420</t>
  </si>
  <si>
    <t>V000525</t>
  </si>
  <si>
    <t>V000534</t>
  </si>
  <si>
    <t>PIZZA</t>
  </si>
  <si>
    <t>V000639</t>
  </si>
  <si>
    <t>CHUBY</t>
  </si>
  <si>
    <t>V000874</t>
  </si>
  <si>
    <t>MASTICABLES</t>
  </si>
  <si>
    <t>V000901</t>
  </si>
  <si>
    <t>HAMBURGUESA DE PESCADO</t>
  </si>
  <si>
    <t>V001204</t>
  </si>
  <si>
    <t>4220 - WILLIAMS</t>
  </si>
  <si>
    <t>V000131</t>
  </si>
  <si>
    <t>FRUTA CONFITADA</t>
  </si>
  <si>
    <t>1230 - MARITGOBCAL</t>
  </si>
  <si>
    <t>V000925</t>
  </si>
  <si>
    <t>CHEETOS ORIGINAL</t>
  </si>
  <si>
    <t>ACTUALIZACIÓN PRECIOS 2024</t>
  </si>
  <si>
    <t>N°</t>
  </si>
  <si>
    <t>N.U.P.</t>
  </si>
  <si>
    <t>DESCRIPCIÓN</t>
  </si>
  <si>
    <t>FORMATO</t>
  </si>
  <si>
    <t>ACEITE CANOLA  (DE ACUERDO A DISPONIBILIDAD MERCADO PÚBLICO)</t>
  </si>
  <si>
    <t>ACEITE LITRO (DE ACUERDO A DISPONIBILIDAD MERCADO PÚBLICO)</t>
  </si>
  <si>
    <t>ACEITE 900 ML (DE ACUERDO A DISPONIBILIDAD MERCADO PÚBLICO)</t>
  </si>
  <si>
    <t xml:space="preserve">ARROZ </t>
  </si>
  <si>
    <t>10 X 1 KG.</t>
  </si>
  <si>
    <t>ATUN LOMITO AL AGUA (DE ACUERDO A DISPONIBILIDAD MERCADO PÚBLICO)</t>
  </si>
  <si>
    <t>10 X1 KG.</t>
  </si>
  <si>
    <t>1 X 20  KG.</t>
  </si>
  <si>
    <t>CERDO FILETE  (DE ACUERDO A DISPONIBILIDAD MERCADO PÚBLICO)</t>
  </si>
  <si>
    <t>CERDO LOMO</t>
  </si>
  <si>
    <t>CONCENTRADO DE TOMATES</t>
  </si>
  <si>
    <t>ENDULZANTE  LIQUIDO  STEVIA</t>
  </si>
  <si>
    <t xml:space="preserve">FIDEOS ESPIRALES </t>
  </si>
  <si>
    <t xml:space="preserve">FIDEOS MOSTACHOLIS </t>
  </si>
  <si>
    <t xml:space="preserve">FIDEOS TALLARINES </t>
  </si>
  <si>
    <t>GARBANZOS SIN PIEL</t>
  </si>
  <si>
    <t>PZ</t>
  </si>
  <si>
    <t>HARINA  FLOR</t>
  </si>
  <si>
    <t>BG</t>
  </si>
  <si>
    <t xml:space="preserve">LENTEJAS  </t>
  </si>
  <si>
    <t xml:space="preserve">MOTE </t>
  </si>
  <si>
    <t xml:space="preserve">PAPAS </t>
  </si>
  <si>
    <t>1 X 20 KG.</t>
  </si>
  <si>
    <t xml:space="preserve">POLLO PECHUGA DESHUESADA </t>
  </si>
  <si>
    <t xml:space="preserve">POLLO TRUTRO CORTO </t>
  </si>
  <si>
    <t>POROTOS</t>
  </si>
  <si>
    <t>C003656</t>
  </si>
  <si>
    <t>RACION COMBATE DE 12 HORAS (SOLO POR ASIGNACION PACA)</t>
  </si>
  <si>
    <t>C003655</t>
  </si>
  <si>
    <t>RACION COMBATE DE 24 HORAS (SOLO POR ASIGNACION PACA)</t>
  </si>
  <si>
    <t xml:space="preserve">SAL </t>
  </si>
  <si>
    <t>12 X 1 KG.</t>
  </si>
  <si>
    <t>16 X 0,250</t>
  </si>
  <si>
    <t>TE  EN BOLSITA  (CA 100 BOLSITAS)</t>
  </si>
  <si>
    <t xml:space="preserve">KG </t>
  </si>
  <si>
    <t>VACUNO POLLO GANSO (DE ACUERDO A DISPONIBILIDAD MERCADO PÚBLICO)</t>
  </si>
  <si>
    <t>VACUNO POSTA NEGRA CONGELADA (DE ACUERDO A DISPONIBILIDAD MERCADO PÚBLICO)</t>
  </si>
  <si>
    <t>VACUNO POSTA PALETA (DE ACUERDO A DISPONIBILIDAD MERCADO PÚBLICO)</t>
  </si>
  <si>
    <t>VACUNO POSTA ROSADA  CONGELADA (DE ACUERDO A DISPONIBILIDAD MERCADO PÚBLICO)</t>
  </si>
  <si>
    <t>VACUNO SOBRECOSTILLA (DE ACUERDO A DISPONIBILIDAD MERCADO PÚBLICO)</t>
  </si>
  <si>
    <t>2.-</t>
  </si>
  <si>
    <t>VÍVERES ESPECIALES:</t>
  </si>
  <si>
    <t xml:space="preserve">CREMA DE CHOCLOS </t>
  </si>
  <si>
    <t xml:space="preserve">CREMA DE POLLO </t>
  </si>
  <si>
    <t xml:space="preserve">FLAN C/LECHE S/CHOCOLATE </t>
  </si>
  <si>
    <t xml:space="preserve">FLAN VAINILLA </t>
  </si>
  <si>
    <t xml:space="preserve">MERMELADA DURAZNO S/AZUCAR 200G </t>
  </si>
  <si>
    <t>24 X 200 G</t>
  </si>
  <si>
    <t xml:space="preserve">SA </t>
  </si>
  <si>
    <t xml:space="preserve">MERMELADA FRUTILLA S/AZUCAR 200G </t>
  </si>
  <si>
    <t xml:space="preserve">POSTRE GELATINA EN POLVO NARANJA </t>
  </si>
  <si>
    <t>PURE DE PAPAS INSTANTANEO SIN LECHE</t>
  </si>
  <si>
    <t>6 X 1 KG.</t>
  </si>
  <si>
    <t xml:space="preserve">SOPA DE CARNE CON ARROZ </t>
  </si>
  <si>
    <t>SOPA CARNE CON FIDEOS</t>
  </si>
  <si>
    <t xml:space="preserve">SOPA POLLO C/ARROZ </t>
  </si>
  <si>
    <t>SOPA POLLOC/FIDEOS</t>
  </si>
  <si>
    <t>CHOCLO GRANO CONGELADO (HASTA AGOTAR STOCK)</t>
  </si>
  <si>
    <t>BOLSA</t>
  </si>
  <si>
    <t xml:space="preserve">PRIMAVERA CONGELADA </t>
  </si>
  <si>
    <t>PAPAS PREFRITAS (HASTA AGOTAR STOCK)</t>
  </si>
  <si>
    <t>4X2,5 KG</t>
  </si>
  <si>
    <t>VALORES</t>
  </si>
  <si>
    <t>1ZNA</t>
  </si>
  <si>
    <t>GRANOLA CON FRUTA</t>
  </si>
  <si>
    <t>1302 - ESNAVAL</t>
  </si>
  <si>
    <t>V000473</t>
  </si>
  <si>
    <t>CEBOLLAS PERLAS</t>
  </si>
  <si>
    <t>V000620</t>
  </si>
  <si>
    <t>CASTA?AS DE CAJU</t>
  </si>
  <si>
    <t>V000737</t>
  </si>
  <si>
    <t>CENTOLLA</t>
  </si>
  <si>
    <t>V000785</t>
  </si>
  <si>
    <t>SALMON BOLSA 200 GRS.</t>
  </si>
  <si>
    <t>V000949</t>
  </si>
  <si>
    <t>V000995</t>
  </si>
  <si>
    <t>RACION DE COMBATE 24 HRS. NACIONAL</t>
  </si>
  <si>
    <t>V001207</t>
  </si>
  <si>
    <t>HUEVOS BANDEJA</t>
  </si>
  <si>
    <t>CERDO MEDALLÓN</t>
  </si>
  <si>
    <t>C903468</t>
  </si>
  <si>
    <t>V000731</t>
  </si>
  <si>
    <t>SACARINA LIQUIDA</t>
  </si>
  <si>
    <t>V000732</t>
  </si>
  <si>
    <t>CHOCLO ENANO</t>
  </si>
  <si>
    <t>V000860</t>
  </si>
  <si>
    <t>ACEITE OLIVA DE 0.500 CC</t>
  </si>
  <si>
    <t>V000867</t>
  </si>
  <si>
    <t>HUEVO DE CHOCOLATE BANDEJA</t>
  </si>
  <si>
    <t>V001028</t>
  </si>
  <si>
    <t>ARROZ PARA RISOTTO</t>
  </si>
  <si>
    <t>V001134</t>
  </si>
  <si>
    <t>CHURRASCO</t>
  </si>
  <si>
    <t>V001194</t>
  </si>
  <si>
    <t>CEBOLLA PICADA CONGELADA</t>
  </si>
  <si>
    <t>1223 - CAPUERTOCHA</t>
  </si>
  <si>
    <t>V000476</t>
  </si>
  <si>
    <t>V000536</t>
  </si>
  <si>
    <t>MEMBRILLO</t>
  </si>
  <si>
    <t>V000915</t>
  </si>
  <si>
    <t>QUESO GRANULADO 500GR</t>
  </si>
  <si>
    <t>V000982</t>
  </si>
  <si>
    <t>V001086</t>
  </si>
  <si>
    <t>CEBOLLA TARRO 3 KG</t>
  </si>
  <si>
    <t>V001202</t>
  </si>
  <si>
    <t>V001208</t>
  </si>
  <si>
    <t>POLLO CUBO POUCH</t>
  </si>
  <si>
    <t>V001209</t>
  </si>
  <si>
    <t>VACUNO CUBO POUCH</t>
  </si>
  <si>
    <t>SOPA DE AVE NATURAL</t>
  </si>
  <si>
    <t>V000074</t>
  </si>
  <si>
    <t>CHOCOLATE GRANULADO TORTAS</t>
  </si>
  <si>
    <t>V000221</t>
  </si>
  <si>
    <t>PAPAYAS AL JUGO</t>
  </si>
  <si>
    <t>V000308</t>
  </si>
  <si>
    <t>SURTIDO VERDURAS CONGELADOS</t>
  </si>
  <si>
    <t>V000589</t>
  </si>
  <si>
    <t>CHOCOLATE NIKOLO</t>
  </si>
  <si>
    <t>V000829</t>
  </si>
  <si>
    <t>SURTIDO DE VERDURA</t>
  </si>
  <si>
    <t>V001203</t>
  </si>
  <si>
    <t>MAIZ GIGANTE</t>
  </si>
  <si>
    <t>V001210</t>
  </si>
  <si>
    <t>ESENCIA DE CANELA</t>
  </si>
  <si>
    <t xml:space="preserve">REFRESCO O AGUA </t>
  </si>
  <si>
    <t>FIDEOS INTEGRALES</t>
  </si>
  <si>
    <t xml:space="preserve">  C903499</t>
  </si>
  <si>
    <t xml:space="preserve">  C903498</t>
  </si>
  <si>
    <t>C903498</t>
  </si>
  <si>
    <t>1410 - COMOPER</t>
  </si>
  <si>
    <t>1225 - CAPUERTOHUA</t>
  </si>
  <si>
    <t>V000095</t>
  </si>
  <si>
    <t>CONCENTRADO DE FRUTA</t>
  </si>
  <si>
    <t>V000180</t>
  </si>
  <si>
    <t>V000297</t>
  </si>
  <si>
    <t>V000310</t>
  </si>
  <si>
    <t>TE BOLSITAS 100 NR</t>
  </si>
  <si>
    <t>V000420</t>
  </si>
  <si>
    <t>V000590</t>
  </si>
  <si>
    <t>CHOCOLATE CAREZZA</t>
  </si>
  <si>
    <t>V000627</t>
  </si>
  <si>
    <t>12 X 400 g</t>
  </si>
  <si>
    <t>ISC</t>
  </si>
  <si>
    <t>270 ml</t>
  </si>
  <si>
    <t>C903499</t>
  </si>
  <si>
    <t>PZ 342 g</t>
  </si>
  <si>
    <t>800 g</t>
  </si>
  <si>
    <t>12 X 800 g</t>
  </si>
  <si>
    <t xml:space="preserve">C902529 </t>
  </si>
  <si>
    <t>V000779</t>
  </si>
  <si>
    <t>QUESO PORTDUSALUT</t>
  </si>
  <si>
    <t>1208 - MARITGOBHARO</t>
  </si>
  <si>
    <t>4232 - CONDELL</t>
  </si>
  <si>
    <t>V000036</t>
  </si>
  <si>
    <t>BROCHETAS</t>
  </si>
  <si>
    <t>PAN (100 GR) C/ HUEVO TOMATE</t>
  </si>
  <si>
    <t>PAN (100 GR) C/MERMELADA DE FRUTILLA</t>
  </si>
  <si>
    <t>4126 - TORO</t>
  </si>
  <si>
    <t>V000021</t>
  </si>
  <si>
    <t>AMAPOLA</t>
  </si>
  <si>
    <t>V000878</t>
  </si>
  <si>
    <t>BASE MAGGI POLLO CRISPY</t>
  </si>
  <si>
    <t>1° SEMANA: CAZUELA DE VACUNO                                                                                                                                                                                                                                                                                                 2° SEMANA: CAZUELA DE AVE                                                                                                                                                                                                                                                                                           3° SEMANA: CAZUELA DE VACUNO                                                                                                                                                                                                                                                                                                 4° SEMANA: CAZUELA DE AVE</t>
  </si>
  <si>
    <t>CERDO MEDALLÓN (DE ACUERDO A DISPONIBILIDAD MERCADO PÚBLICO)</t>
  </si>
  <si>
    <t>FIDEOS INTEGRALES (DE ACUERDO A DISPONIBILIDAD MERCADO PÚBLICO)</t>
  </si>
  <si>
    <t>GRANOLA (DE ACUERDO A DISPONIBILIDAD MERCADO PÚBLICO)</t>
  </si>
  <si>
    <t xml:space="preserve">LECHE EN POLVO 800 GRS. </t>
  </si>
  <si>
    <t>PALMITOS 800 G (HASTA AGOTAR STOCK)</t>
  </si>
  <si>
    <t>PESCADO APANADO</t>
  </si>
  <si>
    <t>POROTO NEGRO(DE ACUERDO A DISPONIBILIDAD MERCADO PÚBLICO)</t>
  </si>
  <si>
    <t>POUCH POLLO, 1 KILO (HASTA AGOTAR STOCK)</t>
  </si>
  <si>
    <t>QUINOA 400 GRS. (DE ACUERDO A DISPONIBILIDAD MERCADO PÚBLICO)</t>
  </si>
  <si>
    <t xml:space="preserve">TE </t>
  </si>
  <si>
    <t>VACUNO BISTEC (HASTA AGOTAR STOCK)</t>
  </si>
  <si>
    <t>VACUNO HUACHALOMO (DE ACUERDO A DISPONIBILIDAD MERCADO PÚBLICO)</t>
  </si>
  <si>
    <t>Armada de Chile</t>
  </si>
  <si>
    <t xml:space="preserve">POC: JEFE CODE VÍVERES,: T1º AB MATIAS LABARCA , LLICO 4133; EMAIL: MLABARCA@ARMADA.CL      </t>
  </si>
  <si>
    <t>4230 - COCHRANE</t>
  </si>
  <si>
    <t>V001211</t>
  </si>
  <si>
    <t>BIZCO MIX 4 KG</t>
  </si>
  <si>
    <t>PRECIOS PRODUCTOS "V" PRIZONA AÑO 2025</t>
  </si>
  <si>
    <t>1° SEMANA:POROTOS CON RIENDAS                                                                                                                                                                                                                                                   2° SEMANA:   LENTEJAS PARMESANAS                                                                                                                                                                                                                                                         3° SEMANA: MENESTRÓN  O POROTOS NEGROS GUISADOS                                                                                                                                                                                                                                                         4° SEMANA: GARBANZOS GUISADOS</t>
  </si>
  <si>
    <t>L</t>
  </si>
  <si>
    <t>M</t>
  </si>
  <si>
    <t>X</t>
  </si>
  <si>
    <t>J</t>
  </si>
  <si>
    <t>V</t>
  </si>
  <si>
    <t>S</t>
  </si>
  <si>
    <t>D</t>
  </si>
  <si>
    <t>TOTAL KG</t>
  </si>
  <si>
    <t>CANTIDAD KG SEMANAL</t>
  </si>
  <si>
    <t>TOTAL MES ESTIMADO</t>
  </si>
  <si>
    <t>FRUTA ENTERA NATURAL</t>
  </si>
  <si>
    <t>1210 - CAPUERTORAP</t>
  </si>
  <si>
    <t>4277 - PRAT</t>
  </si>
  <si>
    <t>4266 - COQUIMBO</t>
  </si>
  <si>
    <t>V000101</t>
  </si>
  <si>
    <t>CORVINA FRESCA</t>
  </si>
  <si>
    <t>V000441</t>
  </si>
  <si>
    <t>CREMA CHOCLOS</t>
  </si>
  <si>
    <t>V000695</t>
  </si>
  <si>
    <t>PAN DE MOLDE EN MINIATURA</t>
  </si>
  <si>
    <t>V000778</t>
  </si>
  <si>
    <t>SALSA MEXICANA</t>
  </si>
  <si>
    <t>V000906</t>
  </si>
  <si>
    <t>PAVO PECHUGA ENTERA (COM. LOCAL)</t>
  </si>
  <si>
    <t>V001020</t>
  </si>
  <si>
    <t>HELADO MEGA</t>
  </si>
  <si>
    <t>Newrest Catering y Servicios Chile SPA.</t>
  </si>
  <si>
    <t>Jorge Asmad Sepulveda</t>
  </si>
  <si>
    <t>Capitán de Corbeta AB</t>
  </si>
  <si>
    <t>Pedro González Fontaine</t>
  </si>
  <si>
    <t>Jefe CODE Víveres (S.)</t>
  </si>
  <si>
    <t>CREMA DE LEGUMBRES NATURAL</t>
  </si>
  <si>
    <t>Jefe Depto. Operaciones</t>
  </si>
  <si>
    <t>CREMA ZAPALLO</t>
  </si>
  <si>
    <t>4354 - AQUILES</t>
  </si>
  <si>
    <t>V000215</t>
  </si>
  <si>
    <t>OSTIONES</t>
  </si>
  <si>
    <t>V000260</t>
  </si>
  <si>
    <t>PURE DE MANZANAS</t>
  </si>
  <si>
    <t>V000422</t>
  </si>
  <si>
    <t>PAPAS CROQUETAS</t>
  </si>
  <si>
    <t>V000468</t>
  </si>
  <si>
    <t>PAPAYAS</t>
  </si>
  <si>
    <t>V000594</t>
  </si>
  <si>
    <t>CREMAS EN SOBRES</t>
  </si>
  <si>
    <t>V000894</t>
  </si>
  <si>
    <t>ENERGIZANTE</t>
  </si>
  <si>
    <t>V001152</t>
  </si>
  <si>
    <t>CHEESECAKE</t>
  </si>
  <si>
    <t>V001214</t>
  </si>
  <si>
    <t>MANTEQUILLA DE MANI</t>
  </si>
  <si>
    <t xml:space="preserve"> MENÚ SANO Y EQUILIBRADO PRIZONA JULIO 2025</t>
  </si>
  <si>
    <t>CARBONADA DE VACUNO</t>
  </si>
  <si>
    <t>ARROZ A LA VALENCIANA (S.MARISCOS,CERDO,CHORIZO)</t>
  </si>
  <si>
    <t>AJIACO                                                                                                                                                               (VACUNO, HUEVO)</t>
  </si>
  <si>
    <t>ENS.TOMATE/PEPINO</t>
  </si>
  <si>
    <t>ENS.LECHUGA/CHOCLO</t>
  </si>
  <si>
    <t>ENS.LECHUGA/BETARRAGA</t>
  </si>
  <si>
    <t>ARROZ FRICASSÉ                                                                                                                                                               (MOLIDA,VIENESAS)</t>
  </si>
  <si>
    <t>SIN STOCK</t>
  </si>
  <si>
    <t>C008045</t>
  </si>
  <si>
    <t>POLLO TRUTRO LARGO</t>
  </si>
  <si>
    <t>C903543</t>
  </si>
  <si>
    <t>CREMA DE ZAPALLO</t>
  </si>
  <si>
    <t>BOLETIN JUNIO 2025</t>
  </si>
  <si>
    <t>PRECIOS PRODUCTOS "V" PRIZONA MES MAYO 2025</t>
  </si>
  <si>
    <t>1710 - JENAFEX</t>
  </si>
  <si>
    <t>V000487</t>
  </si>
  <si>
    <t>CHAMPI?ON CONGELADO</t>
  </si>
  <si>
    <t>V000556</t>
  </si>
  <si>
    <t xml:space="preserve">1° SEMANA: MERLUZA APANADA CON  PURÉ DE PAPAS                                                                                                          2° SEMANA: CROQUETA DE ATÚN CON  QUINOA PRIMAVERA                                                                                                        3° SEMANA:  PULMAY (S.MARISCOS/CERDO, CHORIZO)                                                                                                                                                   3° SEMANA:  MERLUZA  ESCABECHADA CON PAPAS ASADAS RÚSTICAS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</si>
  <si>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POLLO A LA MOSTAZA                                                                                                                                CON FIDEOS INTEGRALES</t>
  </si>
  <si>
    <t>ENS.POROTO NEGRO/LECHUGA</t>
  </si>
  <si>
    <t xml:space="preserve"> ZAPALLITOS RELLENOS CON PAPAS FRITAS                                                                                          (CARNE MOLIDA)                                                                                                                                                                 ALTERNATIVA: PASTEL DE ZAPALLITOS                                                                                                                  CON PAPAS RÚSTICAS                                                        </t>
  </si>
  <si>
    <t>POLLO FILETE</t>
  </si>
  <si>
    <t>C903555</t>
  </si>
  <si>
    <t>RAGOUT DE CERDO                                                                                                                                                                       CON ESPIRALES</t>
  </si>
  <si>
    <t>CHAPSUI DE CERDO                                                                                                                                                                                    CON ARROZ PIAMONTESA</t>
  </si>
  <si>
    <t xml:space="preserve">TRUTRO ASADO                                                                                                                                                            CON BUDÍN DE VERDURAS                          </t>
  </si>
  <si>
    <t>1° Y 3° SEMANA: STROGONOFF DE CERDO                                                                                                                     CON MOSTACHOLIS PEREJIL                                                                                                                                          2° Y 4° SEMANA CARNE MECHADA                                                                                                                                            CON FIDEOS CILANTRO</t>
  </si>
  <si>
    <t>ASADO ALEMÁN                                                                                                     CON PURÉ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</si>
</sst>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3" formatCode="_ * #,##0.00_ ;_ * \-#,##0.00_ ;_ * &quot;-&quot;??_ ;_ @_ "/>
    <numFmt numFmtId="164" formatCode="&quot;$&quot;\ #,##0;[Red]\-&quot;$&quot;\ #,##0"/>
    <numFmt numFmtId="165" formatCode="_-&quot;$&quot;\ * #,##0_-;\-&quot;$&quot;\ * #,##0_-;_-&quot;$&quot;\ * &quot;-&quot;_-;_-@_-"/>
    <numFmt numFmtId="166" formatCode="_-* #,##0.00\ [$€]_-;\-* #,##0.00\ [$€]_-;_-* \-??\ [$€]_-;_-@_-"/>
    <numFmt numFmtId="167" formatCode="_-* #,##0\ _P_t_s_-;\-* #,##0\ _P_t_s_-;_-* &quot;- &quot;_P_t_s_-;_-@_-"/>
    <numFmt numFmtId="168" formatCode="_-* #,##0.00\ _P_t_s_-;\-* #,##0.00\ _P_t_s_-;_-* \-??\ _P_t_s_-;_-@_-"/>
    <numFmt numFmtId="169" formatCode="_-* #,##0.00&quot; Pts&quot;_-;\-* #,##0.00&quot; Pts&quot;_-;_-* \-??&quot; Pts&quot;_-;_-@_-"/>
    <numFmt numFmtId="170" formatCode="#,##0.0"/>
    <numFmt numFmtId="171" formatCode="#,##0.000"/>
    <numFmt numFmtId="172" formatCode="0.0"/>
    <numFmt numFmtId="173" formatCode="_-[$$-340A]\ * #,##0_-;\-[$$-340A]\ * #,##0_-;_-[$$-340A]\ * &quot;-&quot;??_-;_-@_-"/>
    <numFmt numFmtId="174" formatCode="_-* #,##0.00\ _P_t_s_-;\-* #,##0.00\ _P_t_s_-;_-* &quot;- &quot;_P_t_s_-;_-@_-"/>
    <numFmt numFmtId="175" formatCode="_ [$$-340A]* #,##0_ ;_ [$$-340A]* \-#,##0_ ;_ [$$-340A]* &quot;-&quot;??_ ;_ @_ "/>
    <numFmt numFmtId="176" formatCode="#,##0.0_ ;\-#,##0.0\ "/>
    <numFmt numFmtId="177" formatCode="&quot;$&quot;#,##0"/>
  </numFmts>
  <fonts count="41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 Narrow"/>
      <family val="2"/>
    </font>
    <font>
      <b/>
      <sz val="12"/>
      <color indexed="8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u/>
      <sz val="18"/>
      <color indexed="8"/>
      <name val="Arial"/>
      <family val="2"/>
    </font>
    <font>
      <b/>
      <sz val="10"/>
      <color indexed="8"/>
      <name val="Garamond"/>
      <family val="1"/>
    </font>
    <font>
      <b/>
      <sz val="12"/>
      <color indexed="8"/>
      <name val="Garamond"/>
      <family val="1"/>
    </font>
    <font>
      <b/>
      <sz val="10"/>
      <color indexed="8"/>
      <name val="Arial Narrow"/>
      <family val="2"/>
    </font>
    <font>
      <sz val="10"/>
      <color indexed="8"/>
      <name val="Arial Narrow"/>
      <family val="2"/>
    </font>
    <font>
      <b/>
      <u/>
      <sz val="16"/>
      <color indexed="8"/>
      <name val="Arial"/>
      <family val="2"/>
    </font>
    <font>
      <sz val="10"/>
      <name val="Calibri"/>
      <family val="2"/>
    </font>
    <font>
      <sz val="7"/>
      <name val="Arial Narrow"/>
      <family val="2"/>
    </font>
    <font>
      <b/>
      <u/>
      <sz val="28"/>
      <name val="Arial"/>
      <family val="2"/>
    </font>
    <font>
      <b/>
      <u/>
      <sz val="18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1"/>
      <name val="Arial"/>
      <family val="2"/>
    </font>
    <font>
      <b/>
      <sz val="11"/>
      <color indexed="8"/>
      <name val="Arial Narrow"/>
      <family val="2"/>
    </font>
    <font>
      <b/>
      <sz val="14"/>
      <color indexed="8"/>
      <name val="Arial"/>
      <family val="2"/>
    </font>
    <font>
      <sz val="12"/>
      <name val="Arial"/>
      <family val="2"/>
    </font>
    <font>
      <sz val="11"/>
      <color theme="1"/>
      <name val="Calibri"/>
      <family val="2"/>
      <scheme val="minor"/>
    </font>
    <font>
      <sz val="10"/>
      <color rgb="FFFF0000"/>
      <name val="Arial"/>
      <family val="2"/>
    </font>
    <font>
      <b/>
      <sz val="12"/>
      <color theme="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theme="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8"/>
      <name val="Arial"/>
      <family val="2"/>
    </font>
    <font>
      <sz val="10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8">
    <xf numFmtId="0" fontId="0" fillId="0" borderId="0"/>
    <xf numFmtId="166" fontId="4" fillId="0" borderId="0" applyFill="0" applyBorder="0" applyAlignment="0" applyProtection="0"/>
    <xf numFmtId="168" fontId="4" fillId="0" borderId="0" applyFill="0" applyBorder="0" applyAlignment="0" applyProtection="0"/>
    <xf numFmtId="167" fontId="4" fillId="0" borderId="0" applyFill="0" applyBorder="0" applyAlignment="0" applyProtection="0"/>
    <xf numFmtId="169" fontId="4" fillId="0" borderId="0" applyFill="0" applyBorder="0" applyAlignment="0" applyProtection="0"/>
    <xf numFmtId="165" fontId="1" fillId="0" borderId="0" applyFill="0" applyBorder="0" applyAlignment="0" applyProtection="0"/>
    <xf numFmtId="0" fontId="31" fillId="0" borderId="0"/>
    <xf numFmtId="9" fontId="4" fillId="0" borderId="0" applyFill="0" applyBorder="0" applyAlignment="0" applyProtection="0"/>
  </cellStyleXfs>
  <cellXfs count="608">
    <xf numFmtId="0" fontId="0" fillId="0" borderId="0" xfId="0"/>
    <xf numFmtId="0" fontId="0" fillId="0" borderId="0" xfId="0" applyFill="1"/>
    <xf numFmtId="0" fontId="6" fillId="0" borderId="0" xfId="0" applyFont="1" applyFill="1"/>
    <xf numFmtId="4" fontId="8" fillId="0" borderId="0" xfId="0" applyNumberFormat="1" applyFont="1" applyFill="1"/>
    <xf numFmtId="0" fontId="7" fillId="0" borderId="0" xfId="0" applyFont="1" applyFill="1"/>
    <xf numFmtId="4" fontId="8" fillId="0" borderId="0" xfId="0" applyNumberFormat="1" applyFont="1" applyFill="1" applyBorder="1" applyAlignment="1">
      <alignment horizontal="center"/>
    </xf>
    <xf numFmtId="4" fontId="8" fillId="0" borderId="0" xfId="0" applyNumberFormat="1" applyFont="1" applyFill="1" applyBorder="1" applyAlignment="1"/>
    <xf numFmtId="0" fontId="9" fillId="0" borderId="0" xfId="0" applyFont="1" applyFill="1" applyBorder="1" applyAlignment="1">
      <alignment horizontal="center" vertical="center" wrapText="1"/>
    </xf>
    <xf numFmtId="0" fontId="10" fillId="0" borderId="0" xfId="0" applyFont="1" applyFill="1"/>
    <xf numFmtId="4" fontId="8" fillId="0" borderId="0" xfId="2" applyNumberFormat="1" applyFont="1" applyFill="1"/>
    <xf numFmtId="0" fontId="11" fillId="0" borderId="0" xfId="0" applyFont="1" applyFill="1" applyBorder="1" applyAlignment="1"/>
    <xf numFmtId="0" fontId="11" fillId="0" borderId="0" xfId="0" applyFont="1" applyFill="1" applyAlignment="1">
      <alignment horizontal="center"/>
    </xf>
    <xf numFmtId="0" fontId="11" fillId="0" borderId="0" xfId="0" applyFont="1" applyFill="1" applyBorder="1" applyAlignment="1">
      <alignment horizontal="center"/>
    </xf>
    <xf numFmtId="0" fontId="10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8" fillId="0" borderId="0" xfId="0" applyFont="1" applyFill="1" applyBorder="1" applyAlignment="1" applyProtection="1">
      <alignment vertical="center"/>
    </xf>
    <xf numFmtId="167" fontId="8" fillId="0" borderId="0" xfId="3" applyFont="1" applyFill="1" applyBorder="1" applyAlignment="1" applyProtection="1">
      <alignment horizontal="center" vertical="center"/>
    </xf>
    <xf numFmtId="4" fontId="8" fillId="0" borderId="0" xfId="0" applyNumberFormat="1" applyFont="1" applyFill="1" applyBorder="1" applyAlignment="1" applyProtection="1">
      <alignment vertical="center"/>
    </xf>
    <xf numFmtId="4" fontId="8" fillId="0" borderId="0" xfId="3" applyNumberFormat="1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vertical="center"/>
    </xf>
    <xf numFmtId="4" fontId="8" fillId="0" borderId="0" xfId="3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 wrapText="1"/>
    </xf>
    <xf numFmtId="173" fontId="8" fillId="0" borderId="1" xfId="3" applyNumberFormat="1" applyFont="1" applyFill="1" applyBorder="1" applyAlignment="1" applyProtection="1">
      <alignment vertical="center"/>
    </xf>
    <xf numFmtId="173" fontId="8" fillId="0" borderId="2" xfId="3" applyNumberFormat="1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 wrapText="1"/>
    </xf>
    <xf numFmtId="173" fontId="8" fillId="0" borderId="0" xfId="0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167" fontId="8" fillId="0" borderId="0" xfId="3" applyNumberFormat="1" applyFont="1" applyFill="1" applyBorder="1" applyAlignment="1" applyProtection="1">
      <alignment vertical="center"/>
    </xf>
    <xf numFmtId="4" fontId="8" fillId="0" borderId="0" xfId="0" applyNumberFormat="1" applyFont="1" applyFill="1" applyBorder="1" applyAlignment="1">
      <alignment vertical="center"/>
    </xf>
    <xf numFmtId="0" fontId="7" fillId="0" borderId="0" xfId="0" applyFont="1" applyFill="1" applyBorder="1" applyAlignment="1" applyProtection="1">
      <alignment vertical="center"/>
    </xf>
    <xf numFmtId="0" fontId="8" fillId="0" borderId="0" xfId="0" applyFont="1" applyFill="1" applyBorder="1" applyAlignment="1" applyProtection="1">
      <alignment horizontal="center" vertical="center"/>
    </xf>
    <xf numFmtId="173" fontId="7" fillId="0" borderId="0" xfId="0" applyNumberFormat="1" applyFont="1" applyFill="1" applyBorder="1" applyAlignment="1" applyProtection="1">
      <alignment vertical="center"/>
    </xf>
    <xf numFmtId="10" fontId="2" fillId="0" borderId="0" xfId="4" applyNumberFormat="1" applyFont="1" applyFill="1" applyBorder="1" applyAlignment="1" applyProtection="1">
      <alignment horizontal="center" vertical="center"/>
    </xf>
    <xf numFmtId="4" fontId="8" fillId="0" borderId="0" xfId="0" applyNumberFormat="1" applyFont="1" applyFill="1" applyAlignment="1">
      <alignment vertical="center"/>
    </xf>
    <xf numFmtId="0" fontId="8" fillId="0" borderId="0" xfId="0" applyFont="1" applyFill="1" applyAlignment="1" applyProtection="1">
      <alignment vertical="center"/>
    </xf>
    <xf numFmtId="0" fontId="7" fillId="0" borderId="0" xfId="0" applyFont="1" applyFill="1" applyBorder="1" applyAlignment="1" applyProtection="1">
      <alignment horizontal="center" vertical="center"/>
    </xf>
    <xf numFmtId="4" fontId="8" fillId="0" borderId="0" xfId="0" applyNumberFormat="1" applyFont="1" applyFill="1" applyAlignment="1" applyProtection="1">
      <alignment vertical="center"/>
    </xf>
    <xf numFmtId="0" fontId="8" fillId="0" borderId="3" xfId="0" applyFont="1" applyFill="1" applyBorder="1" applyAlignment="1" applyProtection="1">
      <alignment vertical="center"/>
    </xf>
    <xf numFmtId="173" fontId="8" fillId="0" borderId="0" xfId="3" applyNumberFormat="1" applyFont="1" applyFill="1" applyBorder="1" applyAlignment="1" applyProtection="1">
      <alignment vertical="center"/>
    </xf>
    <xf numFmtId="173" fontId="7" fillId="0" borderId="0" xfId="3" applyNumberFormat="1" applyFont="1" applyFill="1" applyBorder="1" applyAlignment="1" applyProtection="1">
      <alignment horizontal="right" vertical="center"/>
    </xf>
    <xf numFmtId="0" fontId="7" fillId="0" borderId="0" xfId="0" applyFont="1" applyFill="1" applyAlignment="1" applyProtection="1">
      <alignment vertical="center"/>
    </xf>
    <xf numFmtId="4" fontId="7" fillId="0" borderId="0" xfId="0" applyNumberFormat="1" applyFont="1" applyFill="1" applyAlignment="1" applyProtection="1">
      <alignment vertical="center"/>
    </xf>
    <xf numFmtId="0" fontId="8" fillId="0" borderId="0" xfId="0" applyFont="1" applyFill="1" applyBorder="1" applyAlignment="1">
      <alignment horizontal="left" vertical="center"/>
    </xf>
    <xf numFmtId="4" fontId="8" fillId="0" borderId="0" xfId="0" applyNumberFormat="1" applyFont="1" applyFill="1" applyBorder="1" applyAlignment="1">
      <alignment horizontal="center" vertical="center"/>
    </xf>
    <xf numFmtId="4" fontId="8" fillId="0" borderId="0" xfId="0" applyNumberFormat="1" applyFont="1" applyFill="1" applyAlignment="1">
      <alignment horizontal="center" vertical="center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0" fillId="2" borderId="0" xfId="0" applyFill="1"/>
    <xf numFmtId="0" fontId="14" fillId="0" borderId="0" xfId="0" applyFont="1" applyFill="1" applyBorder="1" applyAlignment="1">
      <alignment vertical="center" wrapText="1"/>
    </xf>
    <xf numFmtId="173" fontId="2" fillId="0" borderId="0" xfId="4" applyNumberFormat="1" applyFont="1" applyFill="1" applyBorder="1" applyAlignment="1" applyProtection="1">
      <alignment vertical="center"/>
    </xf>
    <xf numFmtId="173" fontId="8" fillId="0" borderId="1" xfId="3" applyNumberFormat="1" applyFont="1" applyFill="1" applyBorder="1" applyAlignment="1" applyProtection="1">
      <alignment horizontal="right" vertical="center"/>
    </xf>
    <xf numFmtId="0" fontId="2" fillId="3" borderId="5" xfId="0" applyFont="1" applyFill="1" applyBorder="1" applyAlignment="1">
      <alignment horizontal="center" vertical="center"/>
    </xf>
    <xf numFmtId="0" fontId="7" fillId="0" borderId="0" xfId="0" applyFont="1" applyFill="1" applyAlignment="1" applyProtection="1">
      <alignment horizontal="left" vertical="center"/>
    </xf>
    <xf numFmtId="4" fontId="8" fillId="0" borderId="0" xfId="0" applyNumberFormat="1" applyFont="1" applyFill="1" applyAlignment="1" applyProtection="1">
      <alignment horizontal="left" vertical="center"/>
    </xf>
    <xf numFmtId="3" fontId="8" fillId="0" borderId="0" xfId="3" applyNumberFormat="1" applyFont="1" applyFill="1" applyBorder="1" applyAlignment="1" applyProtection="1">
      <alignment horizontal="center" vertical="center" wrapText="1"/>
    </xf>
    <xf numFmtId="0" fontId="8" fillId="0" borderId="0" xfId="0" applyFont="1" applyFill="1" applyAlignment="1" applyProtection="1">
      <alignment horizontal="left" vertical="center"/>
    </xf>
    <xf numFmtId="173" fontId="8" fillId="0" borderId="2" xfId="3" applyNumberFormat="1" applyFont="1" applyFill="1" applyBorder="1" applyAlignment="1" applyProtection="1">
      <alignment horizontal="right" vertical="center"/>
    </xf>
    <xf numFmtId="173" fontId="4" fillId="0" borderId="1" xfId="3" applyNumberFormat="1" applyFont="1" applyFill="1" applyBorder="1" applyAlignment="1" applyProtection="1">
      <alignment vertical="center"/>
    </xf>
    <xf numFmtId="4" fontId="7" fillId="0" borderId="0" xfId="3" applyNumberFormat="1" applyFont="1" applyFill="1" applyBorder="1" applyAlignment="1" applyProtection="1">
      <alignment vertical="center"/>
    </xf>
    <xf numFmtId="167" fontId="8" fillId="0" borderId="0" xfId="3" applyNumberFormat="1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horizontal="left" vertical="center"/>
    </xf>
    <xf numFmtId="167" fontId="8" fillId="0" borderId="0" xfId="3" applyNumberFormat="1" applyFont="1" applyFill="1" applyBorder="1" applyAlignment="1" applyProtection="1">
      <alignment horizontal="left" vertical="center"/>
    </xf>
    <xf numFmtId="4" fontId="8" fillId="0" borderId="0" xfId="3" applyNumberFormat="1" applyFont="1" applyFill="1" applyBorder="1" applyAlignment="1" applyProtection="1">
      <alignment horizontal="left" vertical="center"/>
    </xf>
    <xf numFmtId="0" fontId="8" fillId="0" borderId="0" xfId="0" applyFont="1" applyFill="1" applyAlignment="1">
      <alignment horizontal="left" vertical="center"/>
    </xf>
    <xf numFmtId="4" fontId="8" fillId="0" borderId="0" xfId="0" applyNumberFormat="1" applyFont="1" applyFill="1" applyBorder="1" applyAlignment="1">
      <alignment horizontal="left" vertical="center"/>
    </xf>
    <xf numFmtId="167" fontId="7" fillId="0" borderId="0" xfId="3" applyNumberFormat="1" applyFont="1" applyFill="1" applyBorder="1" applyAlignment="1" applyProtection="1">
      <alignment horizontal="left" vertical="center"/>
    </xf>
    <xf numFmtId="167" fontId="8" fillId="0" borderId="3" xfId="3" applyFont="1" applyFill="1" applyBorder="1" applyAlignment="1" applyProtection="1">
      <alignment vertic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23" fillId="5" borderId="44" xfId="0" applyFont="1" applyFill="1" applyBorder="1" applyAlignment="1">
      <alignment wrapText="1"/>
    </xf>
    <xf numFmtId="0" fontId="23" fillId="5" borderId="1" xfId="0" applyFont="1" applyFill="1" applyBorder="1" applyAlignment="1">
      <alignment vertical="center" wrapText="1"/>
    </xf>
    <xf numFmtId="0" fontId="23" fillId="6" borderId="1" xfId="0" applyFont="1" applyFill="1" applyBorder="1" applyAlignment="1">
      <alignment vertical="center" wrapText="1"/>
    </xf>
    <xf numFmtId="0" fontId="23" fillId="6" borderId="44" xfId="0" applyFont="1" applyFill="1" applyBorder="1" applyAlignment="1">
      <alignment vertical="center" wrapText="1"/>
    </xf>
    <xf numFmtId="2" fontId="23" fillId="5" borderId="1" xfId="0" applyNumberFormat="1" applyFont="1" applyFill="1" applyBorder="1" applyAlignment="1">
      <alignment vertical="center" wrapText="1"/>
    </xf>
    <xf numFmtId="1" fontId="23" fillId="5" borderId="1" xfId="0" applyNumberFormat="1" applyFont="1" applyFill="1" applyBorder="1" applyAlignment="1">
      <alignment vertical="center" wrapText="1"/>
    </xf>
    <xf numFmtId="0" fontId="23" fillId="5" borderId="44" xfId="0" applyFont="1" applyFill="1" applyBorder="1" applyAlignment="1">
      <alignment vertical="center" wrapText="1"/>
    </xf>
    <xf numFmtId="0" fontId="23" fillId="5" borderId="1" xfId="0" applyFont="1" applyFill="1" applyBorder="1" applyAlignment="1">
      <alignment vertical="top" wrapText="1"/>
    </xf>
    <xf numFmtId="0" fontId="23" fillId="4" borderId="1" xfId="0" applyFont="1" applyFill="1" applyBorder="1" applyAlignment="1">
      <alignment vertical="center" wrapText="1"/>
    </xf>
    <xf numFmtId="0" fontId="23" fillId="7" borderId="1" xfId="0" applyFont="1" applyFill="1" applyBorder="1" applyAlignment="1">
      <alignment vertical="center" wrapText="1"/>
    </xf>
    <xf numFmtId="0" fontId="23" fillId="5" borderId="45" xfId="0" applyFont="1" applyFill="1" applyBorder="1" applyAlignment="1">
      <alignment wrapText="1"/>
    </xf>
    <xf numFmtId="0" fontId="23" fillId="5" borderId="1" xfId="0" applyFont="1" applyFill="1" applyBorder="1" applyAlignment="1">
      <alignment wrapText="1"/>
    </xf>
    <xf numFmtId="2" fontId="23" fillId="4" borderId="1" xfId="0" applyNumberFormat="1" applyFont="1" applyFill="1" applyBorder="1" applyAlignment="1">
      <alignment vertical="center" wrapText="1"/>
    </xf>
    <xf numFmtId="1" fontId="23" fillId="7" borderId="1" xfId="0" applyNumberFormat="1" applyFont="1" applyFill="1" applyBorder="1" applyAlignment="1">
      <alignment vertical="center" wrapText="1"/>
    </xf>
    <xf numFmtId="0" fontId="23" fillId="5" borderId="46" xfId="0" applyFont="1" applyFill="1" applyBorder="1" applyAlignment="1">
      <alignment wrapText="1"/>
    </xf>
    <xf numFmtId="0" fontId="23" fillId="5" borderId="6" xfId="0" applyFont="1" applyFill="1" applyBorder="1" applyAlignment="1">
      <alignment wrapText="1"/>
    </xf>
    <xf numFmtId="0" fontId="23" fillId="5" borderId="47" xfId="0" applyFont="1" applyFill="1" applyBorder="1" applyAlignment="1">
      <alignment wrapText="1"/>
    </xf>
    <xf numFmtId="0" fontId="23" fillId="7" borderId="1" xfId="0" applyFont="1" applyFill="1" applyBorder="1" applyAlignment="1">
      <alignment wrapText="1"/>
    </xf>
    <xf numFmtId="0" fontId="23" fillId="5" borderId="48" xfId="0" applyFont="1" applyFill="1" applyBorder="1" applyAlignment="1">
      <alignment wrapText="1"/>
    </xf>
    <xf numFmtId="0" fontId="0" fillId="0" borderId="1" xfId="0" applyBorder="1" applyAlignment="1">
      <alignment horizontal="center"/>
    </xf>
    <xf numFmtId="9" fontId="4" fillId="0" borderId="0" xfId="7" applyFill="1" applyAlignment="1">
      <alignment horizontal="center" vertical="center"/>
    </xf>
    <xf numFmtId="0" fontId="8" fillId="0" borderId="0" xfId="0" applyFont="1" applyFill="1" applyBorder="1" applyAlignment="1" applyProtection="1">
      <alignment horizontal="left" vertical="center"/>
    </xf>
    <xf numFmtId="0" fontId="13" fillId="8" borderId="1" xfId="0" applyFont="1" applyFill="1" applyBorder="1" applyAlignment="1">
      <alignment horizontal="center"/>
    </xf>
    <xf numFmtId="173" fontId="13" fillId="0" borderId="1" xfId="3" applyNumberFormat="1" applyFont="1" applyFill="1" applyBorder="1" applyAlignment="1" applyProtection="1">
      <alignment horizontal="center"/>
    </xf>
    <xf numFmtId="4" fontId="13" fillId="0" borderId="1" xfId="3" applyNumberFormat="1" applyFont="1" applyFill="1" applyBorder="1" applyAlignment="1" applyProtection="1">
      <alignment horizontal="center"/>
    </xf>
    <xf numFmtId="0" fontId="24" fillId="9" borderId="1" xfId="0" applyFont="1" applyFill="1" applyBorder="1" applyAlignment="1">
      <alignment vertical="center" wrapText="1"/>
    </xf>
    <xf numFmtId="0" fontId="7" fillId="9" borderId="7" xfId="0" applyFont="1" applyFill="1" applyBorder="1" applyAlignment="1" applyProtection="1">
      <alignment horizontal="center" vertical="center" wrapText="1"/>
    </xf>
    <xf numFmtId="0" fontId="7" fillId="9" borderId="5" xfId="0" applyFont="1" applyFill="1" applyBorder="1" applyAlignment="1" applyProtection="1">
      <alignment horizontal="center" vertical="center" wrapText="1"/>
    </xf>
    <xf numFmtId="0" fontId="7" fillId="9" borderId="8" xfId="0" applyFont="1" applyFill="1" applyBorder="1" applyAlignment="1" applyProtection="1">
      <alignment horizontal="center" vertical="center" wrapText="1"/>
    </xf>
    <xf numFmtId="4" fontId="7" fillId="9" borderId="8" xfId="3" applyNumberFormat="1" applyFont="1" applyFill="1" applyBorder="1" applyAlignment="1" applyProtection="1">
      <alignment horizontal="center" vertical="center" wrapText="1"/>
    </xf>
    <xf numFmtId="4" fontId="7" fillId="9" borderId="7" xfId="3" applyNumberFormat="1" applyFont="1" applyFill="1" applyBorder="1" applyAlignment="1" applyProtection="1">
      <alignment horizontal="center" vertical="center" wrapText="1"/>
    </xf>
    <xf numFmtId="4" fontId="7" fillId="9" borderId="9" xfId="3" applyNumberFormat="1" applyFont="1" applyFill="1" applyBorder="1" applyAlignment="1" applyProtection="1">
      <alignment horizontal="center" vertical="center" wrapText="1"/>
    </xf>
    <xf numFmtId="4" fontId="7" fillId="9" borderId="10" xfId="3" applyNumberFormat="1" applyFont="1" applyFill="1" applyBorder="1" applyAlignment="1" applyProtection="1">
      <alignment horizontal="center" vertical="center" wrapText="1"/>
    </xf>
    <xf numFmtId="0" fontId="7" fillId="10" borderId="11" xfId="0" applyFont="1" applyFill="1" applyBorder="1" applyAlignment="1" applyProtection="1">
      <alignment vertical="center"/>
    </xf>
    <xf numFmtId="0" fontId="7" fillId="10" borderId="12" xfId="0" applyFont="1" applyFill="1" applyBorder="1" applyAlignment="1" applyProtection="1">
      <alignment vertical="center"/>
    </xf>
    <xf numFmtId="0" fontId="7" fillId="10" borderId="13" xfId="0" applyFont="1" applyFill="1" applyBorder="1" applyAlignment="1" applyProtection="1">
      <alignment vertical="center"/>
    </xf>
    <xf numFmtId="0" fontId="27" fillId="0" borderId="0" xfId="0" applyFont="1"/>
    <xf numFmtId="164" fontId="0" fillId="0" borderId="1" xfId="0" applyNumberFormat="1" applyBorder="1" applyAlignment="1">
      <alignment horizontal="center" vertical="center"/>
    </xf>
    <xf numFmtId="172" fontId="13" fillId="0" borderId="1" xfId="3" applyNumberFormat="1" applyFont="1" applyFill="1" applyBorder="1" applyAlignment="1" applyProtection="1">
      <alignment horizontal="center"/>
    </xf>
    <xf numFmtId="2" fontId="7" fillId="10" borderId="12" xfId="0" applyNumberFormat="1" applyFont="1" applyFill="1" applyBorder="1" applyAlignment="1" applyProtection="1">
      <alignment vertical="center"/>
    </xf>
    <xf numFmtId="171" fontId="8" fillId="0" borderId="0" xfId="0" applyNumberFormat="1" applyFont="1" applyFill="1" applyAlignment="1" applyProtection="1">
      <alignment vertical="center"/>
    </xf>
    <xf numFmtId="2" fontId="8" fillId="12" borderId="16" xfId="3" applyNumberFormat="1" applyFont="1" applyFill="1" applyBorder="1" applyAlignment="1" applyProtection="1">
      <alignment horizontal="center" vertical="center"/>
    </xf>
    <xf numFmtId="2" fontId="8" fillId="12" borderId="17" xfId="3" applyNumberFormat="1" applyFont="1" applyFill="1" applyBorder="1" applyAlignment="1" applyProtection="1">
      <alignment horizontal="center" vertical="center"/>
    </xf>
    <xf numFmtId="2" fontId="8" fillId="12" borderId="18" xfId="0" applyNumberFormat="1" applyFont="1" applyFill="1" applyBorder="1" applyAlignment="1" applyProtection="1">
      <alignment horizontal="center" vertical="center"/>
    </xf>
    <xf numFmtId="2" fontId="7" fillId="10" borderId="12" xfId="0" applyNumberFormat="1" applyFont="1" applyFill="1" applyBorder="1" applyAlignment="1" applyProtection="1">
      <alignment horizontal="center" vertical="center"/>
    </xf>
    <xf numFmtId="2" fontId="8" fillId="12" borderId="1" xfId="3" applyNumberFormat="1" applyFont="1" applyFill="1" applyBorder="1" applyAlignment="1" applyProtection="1">
      <alignment horizontal="center" vertical="center"/>
    </xf>
    <xf numFmtId="2" fontId="4" fillId="12" borderId="1" xfId="3" applyNumberFormat="1" applyFont="1" applyFill="1" applyBorder="1" applyAlignment="1" applyProtection="1">
      <alignment horizontal="center" vertical="center"/>
    </xf>
    <xf numFmtId="2" fontId="8" fillId="12" borderId="2" xfId="3" applyNumberFormat="1" applyFont="1" applyFill="1" applyBorder="1" applyAlignment="1" applyProtection="1">
      <alignment horizontal="center" vertical="center"/>
    </xf>
    <xf numFmtId="174" fontId="8" fillId="0" borderId="0" xfId="3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center" vertical="center"/>
    </xf>
    <xf numFmtId="167" fontId="8" fillId="0" borderId="1" xfId="3" applyFont="1" applyFill="1" applyBorder="1" applyAlignment="1" applyProtection="1">
      <alignment horizontal="center" vertical="center"/>
    </xf>
    <xf numFmtId="2" fontId="8" fillId="0" borderId="1" xfId="3" applyNumberFormat="1" applyFont="1" applyFill="1" applyBorder="1" applyAlignment="1" applyProtection="1">
      <alignment vertical="center"/>
    </xf>
    <xf numFmtId="4" fontId="8" fillId="0" borderId="1" xfId="3" applyNumberFormat="1" applyFont="1" applyFill="1" applyBorder="1" applyAlignment="1" applyProtection="1">
      <alignment vertical="center"/>
    </xf>
    <xf numFmtId="2" fontId="8" fillId="0" borderId="0" xfId="0" applyNumberFormat="1" applyFont="1" applyFill="1" applyBorder="1" applyAlignment="1" applyProtection="1">
      <alignment vertical="center"/>
    </xf>
    <xf numFmtId="2" fontId="8" fillId="0" borderId="0" xfId="0" applyNumberFormat="1" applyFont="1" applyFill="1" applyBorder="1" applyAlignment="1" applyProtection="1">
      <alignment horizontal="center" vertical="center"/>
    </xf>
    <xf numFmtId="170" fontId="8" fillId="0" borderId="2" xfId="3" applyNumberFormat="1" applyFont="1" applyFill="1" applyBorder="1" applyAlignment="1" applyProtection="1">
      <alignment horizontal="right" vertical="center"/>
    </xf>
    <xf numFmtId="170" fontId="8" fillId="0" borderId="2" xfId="3" applyNumberFormat="1" applyFont="1" applyFill="1" applyBorder="1" applyAlignment="1" applyProtection="1">
      <alignment vertical="center"/>
    </xf>
    <xf numFmtId="170" fontId="8" fillId="0" borderId="19" xfId="3" applyNumberFormat="1" applyFont="1" applyFill="1" applyBorder="1" applyAlignment="1" applyProtection="1">
      <alignment vertical="center"/>
    </xf>
    <xf numFmtId="170" fontId="8" fillId="0" borderId="1" xfId="3" applyNumberFormat="1" applyFont="1" applyFill="1" applyBorder="1" applyAlignment="1" applyProtection="1">
      <alignment horizontal="right" vertical="center"/>
    </xf>
    <xf numFmtId="170" fontId="8" fillId="0" borderId="1" xfId="3" applyNumberFormat="1" applyFont="1" applyFill="1" applyBorder="1" applyAlignment="1" applyProtection="1">
      <alignment vertical="center"/>
    </xf>
    <xf numFmtId="170" fontId="8" fillId="0" borderId="20" xfId="3" applyNumberFormat="1" applyFont="1" applyFill="1" applyBorder="1" applyAlignment="1" applyProtection="1">
      <alignment vertical="center"/>
    </xf>
    <xf numFmtId="4" fontId="8" fillId="0" borderId="1" xfId="0" applyNumberFormat="1" applyFont="1" applyFill="1" applyBorder="1" applyAlignment="1" applyProtection="1">
      <alignment horizontal="right" vertical="center"/>
    </xf>
    <xf numFmtId="4" fontId="4" fillId="0" borderId="1" xfId="3" applyNumberFormat="1" applyFont="1" applyFill="1" applyBorder="1" applyAlignment="1" applyProtection="1">
      <alignment vertical="center"/>
    </xf>
    <xf numFmtId="4" fontId="4" fillId="0" borderId="1" xfId="3" applyNumberFormat="1" applyFont="1" applyFill="1" applyBorder="1" applyAlignment="1" applyProtection="1"/>
    <xf numFmtId="4" fontId="8" fillId="0" borderId="21" xfId="3" applyNumberFormat="1" applyFont="1" applyFill="1" applyBorder="1" applyAlignment="1" applyProtection="1">
      <alignment vertical="center"/>
    </xf>
    <xf numFmtId="2" fontId="8" fillId="0" borderId="0" xfId="3" applyNumberFormat="1" applyFont="1" applyFill="1" applyBorder="1" applyAlignment="1" applyProtection="1">
      <alignment vertical="center"/>
    </xf>
    <xf numFmtId="2" fontId="8" fillId="0" borderId="0" xfId="3" applyNumberFormat="1" applyFont="1" applyFill="1" applyBorder="1" applyAlignment="1" applyProtection="1">
      <alignment horizontal="center" vertical="center"/>
    </xf>
    <xf numFmtId="167" fontId="8" fillId="0" borderId="0" xfId="3" applyFont="1" applyFill="1" applyBorder="1" applyAlignment="1" applyProtection="1">
      <alignment vertical="center"/>
    </xf>
    <xf numFmtId="0" fontId="8" fillId="0" borderId="2" xfId="0" applyFont="1" applyFill="1" applyBorder="1" applyAlignment="1" applyProtection="1">
      <alignment horizontal="center" vertical="center"/>
    </xf>
    <xf numFmtId="167" fontId="8" fillId="0" borderId="2" xfId="3" applyFont="1" applyFill="1" applyBorder="1" applyAlignment="1" applyProtection="1">
      <alignment horizontal="center" vertical="center"/>
    </xf>
    <xf numFmtId="2" fontId="8" fillId="0" borderId="2" xfId="3" applyNumberFormat="1" applyFont="1" applyFill="1" applyBorder="1" applyAlignment="1" applyProtection="1">
      <alignment vertical="center"/>
    </xf>
    <xf numFmtId="4" fontId="8" fillId="0" borderId="2" xfId="3" applyNumberFormat="1" applyFont="1" applyFill="1" applyBorder="1" applyAlignment="1" applyProtection="1">
      <alignment vertical="center"/>
    </xf>
    <xf numFmtId="2" fontId="8" fillId="0" borderId="1" xfId="0" applyNumberFormat="1" applyFont="1" applyFill="1" applyBorder="1" applyAlignment="1" applyProtection="1">
      <alignment horizontal="right" vertical="center"/>
    </xf>
    <xf numFmtId="2" fontId="4" fillId="0" borderId="1" xfId="3" applyNumberFormat="1" applyFont="1" applyFill="1" applyBorder="1" applyAlignment="1" applyProtection="1">
      <alignment vertical="center"/>
    </xf>
    <xf numFmtId="173" fontId="8" fillId="0" borderId="1" xfId="3" applyNumberFormat="1" applyFont="1" applyFill="1" applyBorder="1" applyAlignment="1">
      <alignment horizontal="right" vertical="center"/>
    </xf>
    <xf numFmtId="0" fontId="8" fillId="0" borderId="21" xfId="0" applyFont="1" applyFill="1" applyBorder="1" applyAlignment="1" applyProtection="1">
      <alignment horizontal="center" vertical="center"/>
    </xf>
    <xf numFmtId="167" fontId="8" fillId="0" borderId="21" xfId="3" applyFont="1" applyFill="1" applyBorder="1" applyAlignment="1" applyProtection="1">
      <alignment horizontal="center" vertical="center"/>
    </xf>
    <xf numFmtId="2" fontId="8" fillId="0" borderId="21" xfId="3" applyNumberFormat="1" applyFont="1" applyFill="1" applyBorder="1" applyAlignment="1" applyProtection="1">
      <alignment vertical="center"/>
    </xf>
    <xf numFmtId="4" fontId="8" fillId="0" borderId="21" xfId="0" applyNumberFormat="1" applyFont="1" applyFill="1" applyBorder="1" applyAlignment="1" applyProtection="1">
      <alignment vertical="center"/>
    </xf>
    <xf numFmtId="2" fontId="8" fillId="0" borderId="0" xfId="0" applyNumberFormat="1" applyFont="1" applyFill="1" applyAlignment="1" applyProtection="1">
      <alignment vertical="center"/>
    </xf>
    <xf numFmtId="2" fontId="8" fillId="0" borderId="0" xfId="0" applyNumberFormat="1" applyFont="1" applyFill="1" applyAlignment="1" applyProtection="1">
      <alignment horizontal="center" vertical="center"/>
    </xf>
    <xf numFmtId="2" fontId="8" fillId="0" borderId="0" xfId="0" applyNumberFormat="1" applyFont="1" applyFill="1" applyAlignment="1" applyProtection="1">
      <alignment horizontal="left" vertical="center"/>
    </xf>
    <xf numFmtId="2" fontId="4" fillId="0" borderId="0" xfId="7" applyNumberFormat="1" applyFill="1" applyAlignment="1" applyProtection="1">
      <alignment vertical="center"/>
    </xf>
    <xf numFmtId="2" fontId="4" fillId="0" borderId="0" xfId="7" applyNumberFormat="1" applyFill="1" applyAlignment="1" applyProtection="1">
      <alignment horizontal="center" vertical="center"/>
    </xf>
    <xf numFmtId="167" fontId="7" fillId="0" borderId="0" xfId="3" applyNumberFormat="1" applyFont="1" applyFill="1" applyBorder="1" applyAlignment="1" applyProtection="1">
      <alignment vertical="center"/>
    </xf>
    <xf numFmtId="173" fontId="4" fillId="0" borderId="1" xfId="4" applyNumberFormat="1" applyFont="1" applyFill="1" applyBorder="1" applyAlignment="1" applyProtection="1">
      <alignment vertical="center"/>
    </xf>
    <xf numFmtId="3" fontId="8" fillId="0" borderId="1" xfId="0" applyNumberFormat="1" applyFont="1" applyFill="1" applyBorder="1" applyAlignment="1" applyProtection="1">
      <alignment vertical="center"/>
    </xf>
    <xf numFmtId="10" fontId="4" fillId="0" borderId="1" xfId="4" applyNumberFormat="1" applyFont="1" applyFill="1" applyBorder="1" applyAlignment="1" applyProtection="1">
      <alignment vertical="center"/>
    </xf>
    <xf numFmtId="173" fontId="8" fillId="0" borderId="1" xfId="0" applyNumberFormat="1" applyFont="1" applyFill="1" applyBorder="1" applyAlignment="1" applyProtection="1">
      <alignment vertical="center"/>
    </xf>
    <xf numFmtId="0" fontId="7" fillId="13" borderId="1" xfId="0" applyFont="1" applyFill="1" applyBorder="1" applyAlignment="1" applyProtection="1">
      <alignment vertical="center"/>
    </xf>
    <xf numFmtId="173" fontId="25" fillId="5" borderId="1" xfId="4" applyNumberFormat="1" applyFont="1" applyFill="1" applyBorder="1" applyAlignment="1" applyProtection="1">
      <alignment vertical="center"/>
    </xf>
    <xf numFmtId="173" fontId="26" fillId="5" borderId="1" xfId="0" applyNumberFormat="1" applyFont="1" applyFill="1" applyBorder="1" applyAlignment="1" applyProtection="1">
      <alignment vertical="center"/>
    </xf>
    <xf numFmtId="10" fontId="25" fillId="5" borderId="1" xfId="4" applyNumberFormat="1" applyFont="1" applyFill="1" applyBorder="1" applyAlignment="1" applyProtection="1">
      <alignment vertical="center"/>
    </xf>
    <xf numFmtId="173" fontId="4" fillId="0" borderId="1" xfId="4" applyNumberFormat="1" applyFont="1" applyFill="1" applyBorder="1" applyAlignment="1" applyProtection="1">
      <alignment horizontal="center" vertical="center"/>
    </xf>
    <xf numFmtId="3" fontId="8" fillId="0" borderId="1" xfId="0" applyNumberFormat="1" applyFont="1" applyFill="1" applyBorder="1" applyAlignment="1" applyProtection="1">
      <alignment horizontal="right" vertical="center"/>
    </xf>
    <xf numFmtId="0" fontId="7" fillId="9" borderId="1" xfId="0" applyFont="1" applyFill="1" applyBorder="1" applyAlignment="1" applyProtection="1">
      <alignment horizontal="center" vertical="center" wrapText="1"/>
    </xf>
    <xf numFmtId="0" fontId="7" fillId="9" borderId="1" xfId="0" applyFont="1" applyFill="1" applyBorder="1" applyAlignment="1" applyProtection="1">
      <alignment horizontal="center" vertical="center"/>
    </xf>
    <xf numFmtId="10" fontId="4" fillId="0" borderId="1" xfId="4" applyNumberFormat="1" applyFont="1" applyFill="1" applyBorder="1" applyAlignment="1" applyProtection="1">
      <alignment horizontal="center" vertical="center"/>
    </xf>
    <xf numFmtId="0" fontId="25" fillId="9" borderId="1" xfId="0" applyFont="1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9" fontId="0" fillId="0" borderId="1" xfId="0" applyNumberFormat="1" applyBorder="1" applyAlignment="1">
      <alignment horizontal="center"/>
    </xf>
    <xf numFmtId="9" fontId="2" fillId="5" borderId="1" xfId="0" applyNumberFormat="1" applyFont="1" applyFill="1" applyBorder="1" applyAlignment="1">
      <alignment horizontal="center" vertical="center"/>
    </xf>
    <xf numFmtId="0" fontId="2" fillId="10" borderId="1" xfId="0" applyFont="1" applyFill="1" applyBorder="1" applyAlignment="1">
      <alignment horizontal="center" vertical="center"/>
    </xf>
    <xf numFmtId="164" fontId="2" fillId="5" borderId="1" xfId="0" applyNumberFormat="1" applyFont="1" applyFill="1" applyBorder="1" applyAlignment="1">
      <alignment horizontal="center" vertical="center"/>
    </xf>
    <xf numFmtId="10" fontId="2" fillId="5" borderId="1" xfId="0" applyNumberFormat="1" applyFont="1" applyFill="1" applyBorder="1" applyAlignment="1">
      <alignment horizontal="center" vertical="center"/>
    </xf>
    <xf numFmtId="9" fontId="4" fillId="0" borderId="1" xfId="7" applyBorder="1" applyAlignment="1">
      <alignment horizontal="center" vertical="center"/>
    </xf>
    <xf numFmtId="164" fontId="0" fillId="0" borderId="1" xfId="0" applyNumberFormat="1" applyFont="1" applyBorder="1" applyAlignment="1">
      <alignment horizontal="center" vertical="center"/>
    </xf>
    <xf numFmtId="170" fontId="13" fillId="0" borderId="1" xfId="4" applyNumberFormat="1" applyFont="1" applyFill="1" applyBorder="1" applyAlignment="1" applyProtection="1">
      <alignment horizontal="center" vertical="center" wrapText="1"/>
    </xf>
    <xf numFmtId="170" fontId="13" fillId="0" borderId="1" xfId="0" applyNumberFormat="1" applyFont="1" applyFill="1" applyBorder="1" applyAlignment="1">
      <alignment horizontal="center" vertical="center" wrapText="1"/>
    </xf>
    <xf numFmtId="0" fontId="28" fillId="9" borderId="1" xfId="0" applyFont="1" applyFill="1" applyBorder="1" applyAlignment="1">
      <alignment horizontal="center" vertical="center" wrapText="1"/>
    </xf>
    <xf numFmtId="0" fontId="12" fillId="13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170" fontId="12" fillId="5" borderId="1" xfId="0" applyNumberFormat="1" applyFont="1" applyFill="1" applyBorder="1" applyAlignment="1">
      <alignment horizontal="center" vertical="center" wrapText="1"/>
    </xf>
    <xf numFmtId="9" fontId="4" fillId="0" borderId="0" xfId="7" applyFill="1" applyBorder="1" applyAlignment="1">
      <alignment vertical="center"/>
    </xf>
    <xf numFmtId="9" fontId="4" fillId="0" borderId="0" xfId="7" applyFill="1" applyAlignment="1" applyProtection="1">
      <alignment vertical="center"/>
    </xf>
    <xf numFmtId="9" fontId="4" fillId="0" borderId="0" xfId="7" applyFill="1" applyBorder="1" applyAlignment="1" applyProtection="1">
      <alignment vertical="center"/>
    </xf>
    <xf numFmtId="173" fontId="4" fillId="0" borderId="0" xfId="4" applyNumberFormat="1" applyFont="1" applyFill="1" applyBorder="1" applyAlignment="1" applyProtection="1">
      <alignment vertical="center"/>
    </xf>
    <xf numFmtId="173" fontId="4" fillId="0" borderId="0" xfId="4" applyNumberFormat="1" applyFont="1" applyFill="1" applyBorder="1" applyAlignment="1" applyProtection="1">
      <alignment horizontal="center" vertical="center"/>
    </xf>
    <xf numFmtId="0" fontId="7" fillId="10" borderId="0" xfId="0" applyFont="1" applyFill="1" applyBorder="1" applyAlignment="1" applyProtection="1">
      <alignment vertical="center"/>
    </xf>
    <xf numFmtId="170" fontId="8" fillId="0" borderId="0" xfId="3" applyNumberFormat="1" applyFont="1" applyFill="1" applyBorder="1" applyAlignment="1" applyProtection="1">
      <alignment vertical="center"/>
    </xf>
    <xf numFmtId="4" fontId="7" fillId="0" borderId="0" xfId="3" applyNumberFormat="1" applyFont="1" applyFill="1" applyBorder="1" applyAlignment="1" applyProtection="1">
      <alignment horizontal="center" vertical="center" wrapText="1"/>
    </xf>
    <xf numFmtId="170" fontId="7" fillId="0" borderId="0" xfId="3" applyNumberFormat="1" applyFont="1" applyFill="1" applyBorder="1" applyAlignment="1" applyProtection="1">
      <alignment vertical="center"/>
    </xf>
    <xf numFmtId="175" fontId="7" fillId="13" borderId="1" xfId="0" applyNumberFormat="1" applyFont="1" applyFill="1" applyBorder="1" applyAlignment="1">
      <alignment vertical="center"/>
    </xf>
    <xf numFmtId="175" fontId="7" fillId="13" borderId="1" xfId="3" applyNumberFormat="1" applyFont="1" applyFill="1" applyBorder="1" applyAlignment="1" applyProtection="1">
      <alignment vertical="center"/>
    </xf>
    <xf numFmtId="175" fontId="7" fillId="13" borderId="1" xfId="0" applyNumberFormat="1" applyFont="1" applyFill="1" applyBorder="1" applyAlignment="1" applyProtection="1">
      <alignment vertical="center"/>
    </xf>
    <xf numFmtId="0" fontId="7" fillId="9" borderId="1" xfId="0" applyFont="1" applyFill="1" applyBorder="1" applyAlignment="1">
      <alignment horizontal="center" vertical="center"/>
    </xf>
    <xf numFmtId="9" fontId="33" fillId="14" borderId="1" xfId="7" applyFont="1" applyFill="1" applyBorder="1" applyAlignment="1" applyProtection="1">
      <alignment horizontal="center" vertical="center"/>
    </xf>
    <xf numFmtId="0" fontId="7" fillId="10" borderId="23" xfId="0" applyFont="1" applyFill="1" applyBorder="1" applyAlignment="1" applyProtection="1">
      <alignment vertical="center"/>
    </xf>
    <xf numFmtId="2" fontId="34" fillId="12" borderId="1" xfId="0" applyNumberFormat="1" applyFont="1" applyFill="1" applyBorder="1" applyAlignment="1" applyProtection="1">
      <alignment horizontal="center" vertical="center"/>
    </xf>
    <xf numFmtId="173" fontId="8" fillId="0" borderId="16" xfId="3" applyNumberFormat="1" applyFont="1" applyFill="1" applyBorder="1" applyAlignment="1">
      <alignment horizontal="right" vertical="center"/>
    </xf>
    <xf numFmtId="173" fontId="8" fillId="0" borderId="17" xfId="3" applyNumberFormat="1" applyFont="1" applyFill="1" applyBorder="1" applyAlignment="1" applyProtection="1">
      <alignment horizontal="right" vertical="center"/>
    </xf>
    <xf numFmtId="173" fontId="4" fillId="0" borderId="17" xfId="3" applyNumberFormat="1" applyFont="1" applyFill="1" applyBorder="1" applyAlignment="1" applyProtection="1">
      <alignment vertical="center"/>
    </xf>
    <xf numFmtId="2" fontId="32" fillId="0" borderId="0" xfId="0" applyNumberFormat="1" applyFont="1" applyFill="1" applyAlignment="1" applyProtection="1">
      <alignment horizontal="center" vertical="center"/>
    </xf>
    <xf numFmtId="2" fontId="34" fillId="12" borderId="1" xfId="3" applyNumberFormat="1" applyFont="1" applyFill="1" applyBorder="1" applyAlignment="1" applyProtection="1">
      <alignment horizontal="center" vertical="center"/>
    </xf>
    <xf numFmtId="2" fontId="34" fillId="12" borderId="2" xfId="3" applyNumberFormat="1" applyFont="1" applyFill="1" applyBorder="1" applyAlignment="1" applyProtection="1">
      <alignment horizontal="center" vertical="center"/>
    </xf>
    <xf numFmtId="171" fontId="8" fillId="0" borderId="1" xfId="3" applyNumberFormat="1" applyFont="1" applyFill="1" applyBorder="1" applyAlignment="1" applyProtection="1">
      <alignment vertical="center"/>
    </xf>
    <xf numFmtId="2" fontId="32" fillId="0" borderId="0" xfId="0" applyNumberFormat="1" applyFont="1" applyFill="1" applyBorder="1" applyAlignment="1" applyProtection="1">
      <alignment horizontal="center" vertical="center"/>
    </xf>
    <xf numFmtId="170" fontId="34" fillId="12" borderId="1" xfId="3" applyNumberFormat="1" applyFont="1" applyFill="1" applyBorder="1" applyAlignment="1" applyProtection="1">
      <alignment horizontal="center" vertical="center"/>
    </xf>
    <xf numFmtId="2" fontId="34" fillId="0" borderId="0" xfId="0" applyNumberFormat="1" applyFont="1" applyFill="1" applyBorder="1" applyAlignment="1" applyProtection="1">
      <alignment horizontal="center" vertical="center"/>
    </xf>
    <xf numFmtId="0" fontId="35" fillId="10" borderId="12" xfId="0" applyFont="1" applyFill="1" applyBorder="1" applyAlignment="1" applyProtection="1">
      <alignment vertical="center"/>
    </xf>
    <xf numFmtId="4" fontId="34" fillId="0" borderId="0" xfId="0" applyNumberFormat="1" applyFont="1" applyFill="1" applyBorder="1" applyAlignment="1" applyProtection="1">
      <alignment vertical="center"/>
    </xf>
    <xf numFmtId="0" fontId="35" fillId="9" borderId="8" xfId="0" applyFont="1" applyFill="1" applyBorder="1" applyAlignment="1" applyProtection="1">
      <alignment horizontal="center" vertical="center" wrapText="1"/>
    </xf>
    <xf numFmtId="2" fontId="34" fillId="12" borderId="16" xfId="3" applyNumberFormat="1" applyFont="1" applyFill="1" applyBorder="1" applyAlignment="1" applyProtection="1">
      <alignment horizontal="center" vertical="center"/>
    </xf>
    <xf numFmtId="2" fontId="34" fillId="12" borderId="17" xfId="3" applyNumberFormat="1" applyFont="1" applyFill="1" applyBorder="1" applyAlignment="1" applyProtection="1">
      <alignment horizontal="center" vertical="center"/>
    </xf>
    <xf numFmtId="2" fontId="34" fillId="12" borderId="18" xfId="0" applyNumberFormat="1" applyFont="1" applyFill="1" applyBorder="1" applyAlignment="1" applyProtection="1">
      <alignment horizontal="center" vertical="center"/>
    </xf>
    <xf numFmtId="3" fontId="8" fillId="0" borderId="19" xfId="3" applyNumberFormat="1" applyFont="1" applyFill="1" applyBorder="1" applyAlignment="1" applyProtection="1">
      <alignment horizontal="center" vertical="center" wrapText="1"/>
    </xf>
    <xf numFmtId="3" fontId="8" fillId="0" borderId="24" xfId="3" applyNumberFormat="1" applyFont="1" applyFill="1" applyBorder="1" applyAlignment="1" applyProtection="1">
      <alignment horizontal="center" vertical="center" wrapText="1"/>
    </xf>
    <xf numFmtId="4" fontId="8" fillId="0" borderId="19" xfId="3" applyNumberFormat="1" applyFont="1" applyFill="1" applyBorder="1" applyAlignment="1" applyProtection="1">
      <alignment vertical="center"/>
    </xf>
    <xf numFmtId="4" fontId="8" fillId="0" borderId="20" xfId="3" applyNumberFormat="1" applyFont="1" applyFill="1" applyBorder="1" applyAlignment="1" applyProtection="1">
      <alignment vertical="center"/>
    </xf>
    <xf numFmtId="173" fontId="8" fillId="0" borderId="21" xfId="3" applyNumberFormat="1" applyFont="1" applyFill="1" applyBorder="1" applyAlignment="1" applyProtection="1">
      <alignment vertical="center"/>
    </xf>
    <xf numFmtId="4" fontId="8" fillId="0" borderId="24" xfId="3" applyNumberFormat="1" applyFont="1" applyFill="1" applyBorder="1" applyAlignment="1" applyProtection="1">
      <alignment vertical="center"/>
    </xf>
    <xf numFmtId="173" fontId="7" fillId="15" borderId="25" xfId="3" applyNumberFormat="1" applyFont="1" applyFill="1" applyBorder="1" applyAlignment="1" applyProtection="1">
      <alignment vertical="center"/>
    </xf>
    <xf numFmtId="173" fontId="7" fillId="15" borderId="26" xfId="3" applyNumberFormat="1" applyFont="1" applyFill="1" applyBorder="1" applyAlignment="1" applyProtection="1">
      <alignment vertical="center"/>
    </xf>
    <xf numFmtId="170" fontId="7" fillId="15" borderId="26" xfId="3" applyNumberFormat="1" applyFont="1" applyFill="1" applyBorder="1" applyAlignment="1" applyProtection="1">
      <alignment vertical="center"/>
    </xf>
    <xf numFmtId="170" fontId="7" fillId="15" borderId="27" xfId="3" applyNumberFormat="1" applyFont="1" applyFill="1" applyBorder="1" applyAlignment="1" applyProtection="1">
      <alignment vertical="center"/>
    </xf>
    <xf numFmtId="173" fontId="8" fillId="0" borderId="18" xfId="3" applyNumberFormat="1" applyFont="1" applyFill="1" applyBorder="1" applyAlignment="1" applyProtection="1">
      <alignment horizontal="right" vertical="center"/>
    </xf>
    <xf numFmtId="173" fontId="8" fillId="0" borderId="21" xfId="3" applyNumberFormat="1" applyFont="1" applyFill="1" applyBorder="1" applyAlignment="1" applyProtection="1">
      <alignment horizontal="right" vertical="center"/>
    </xf>
    <xf numFmtId="170" fontId="8" fillId="0" borderId="21" xfId="3" applyNumberFormat="1" applyFont="1" applyFill="1" applyBorder="1" applyAlignment="1" applyProtection="1">
      <alignment vertical="center"/>
    </xf>
    <xf numFmtId="170" fontId="8" fillId="0" borderId="24" xfId="3" applyNumberFormat="1" applyFont="1" applyFill="1" applyBorder="1" applyAlignment="1" applyProtection="1">
      <alignment vertical="center"/>
    </xf>
    <xf numFmtId="172" fontId="7" fillId="7" borderId="25" xfId="3" applyNumberFormat="1" applyFont="1" applyFill="1" applyBorder="1" applyAlignment="1" applyProtection="1">
      <alignment horizontal="right" vertical="center"/>
    </xf>
    <xf numFmtId="172" fontId="7" fillId="7" borderId="26" xfId="3" applyNumberFormat="1" applyFont="1" applyFill="1" applyBorder="1" applyAlignment="1" applyProtection="1">
      <alignment horizontal="right" vertical="center"/>
    </xf>
    <xf numFmtId="172" fontId="7" fillId="7" borderId="27" xfId="3" applyNumberFormat="1" applyFont="1" applyFill="1" applyBorder="1" applyAlignment="1" applyProtection="1">
      <alignment horizontal="right" vertical="center"/>
    </xf>
    <xf numFmtId="2" fontId="8" fillId="0" borderId="21" xfId="0" applyNumberFormat="1" applyFont="1" applyFill="1" applyBorder="1" applyAlignment="1" applyProtection="1">
      <alignment vertical="center"/>
    </xf>
    <xf numFmtId="2" fontId="8" fillId="12" borderId="21" xfId="0" applyNumberFormat="1" applyFont="1" applyFill="1" applyBorder="1" applyAlignment="1" applyProtection="1">
      <alignment horizontal="center" vertical="center"/>
    </xf>
    <xf numFmtId="173" fontId="8" fillId="0" borderId="21" xfId="0" applyNumberFormat="1" applyFont="1" applyFill="1" applyBorder="1" applyAlignment="1" applyProtection="1">
      <alignment vertical="center"/>
    </xf>
    <xf numFmtId="170" fontId="8" fillId="0" borderId="21" xfId="3" applyNumberFormat="1" applyFont="1" applyFill="1" applyBorder="1" applyAlignment="1" applyProtection="1">
      <alignment horizontal="right" vertical="center"/>
    </xf>
    <xf numFmtId="170" fontId="34" fillId="12" borderId="21" xfId="3" applyNumberFormat="1" applyFont="1" applyFill="1" applyBorder="1" applyAlignment="1" applyProtection="1">
      <alignment horizontal="center" vertical="center"/>
    </xf>
    <xf numFmtId="4" fontId="4" fillId="0" borderId="2" xfId="3" applyNumberFormat="1" applyFont="1" applyFill="1" applyBorder="1" applyAlignment="1" applyProtection="1">
      <alignment vertical="center"/>
    </xf>
    <xf numFmtId="173" fontId="8" fillId="0" borderId="2" xfId="3" applyNumberFormat="1" applyFont="1" applyFill="1" applyBorder="1" applyAlignment="1">
      <alignment horizontal="right" vertical="center"/>
    </xf>
    <xf numFmtId="4" fontId="4" fillId="0" borderId="21" xfId="3" applyNumberFormat="1" applyFont="1" applyFill="1" applyBorder="1" applyAlignment="1" applyProtection="1">
      <alignment vertical="center"/>
    </xf>
    <xf numFmtId="173" fontId="8" fillId="0" borderId="21" xfId="3" applyNumberFormat="1" applyFont="1" applyFill="1" applyBorder="1" applyAlignment="1">
      <alignment horizontal="right" vertical="center"/>
    </xf>
    <xf numFmtId="4" fontId="34" fillId="0" borderId="2" xfId="3" applyNumberFormat="1" applyFont="1" applyFill="1" applyBorder="1" applyAlignment="1" applyProtection="1">
      <alignment vertical="center"/>
    </xf>
    <xf numFmtId="4" fontId="34" fillId="0" borderId="1" xfId="3" applyNumberFormat="1" applyFont="1" applyFill="1" applyBorder="1" applyAlignment="1" applyProtection="1">
      <alignment vertical="center"/>
    </xf>
    <xf numFmtId="0" fontId="7" fillId="9" borderId="5" xfId="0" applyFont="1" applyFill="1" applyBorder="1" applyAlignment="1">
      <alignment horizontal="center" vertical="center" wrapText="1"/>
    </xf>
    <xf numFmtId="0" fontId="7" fillId="9" borderId="8" xfId="0" applyFont="1" applyFill="1" applyBorder="1" applyAlignment="1">
      <alignment horizontal="center" vertical="center" wrapText="1"/>
    </xf>
    <xf numFmtId="0" fontId="35" fillId="11" borderId="22" xfId="0" applyFont="1" applyFill="1" applyBorder="1" applyAlignment="1">
      <alignment vertical="center"/>
    </xf>
    <xf numFmtId="173" fontId="7" fillId="15" borderId="28" xfId="3" applyNumberFormat="1" applyFont="1" applyFill="1" applyBorder="1" applyAlignment="1" applyProtection="1">
      <alignment vertical="center"/>
    </xf>
    <xf numFmtId="173" fontId="7" fillId="15" borderId="29" xfId="3" applyNumberFormat="1" applyFont="1" applyFill="1" applyBorder="1" applyAlignment="1" applyProtection="1">
      <alignment vertical="center"/>
    </xf>
    <xf numFmtId="170" fontId="7" fillId="15" borderId="29" xfId="3" applyNumberFormat="1" applyFont="1" applyFill="1" applyBorder="1" applyAlignment="1" applyProtection="1">
      <alignment vertical="center"/>
    </xf>
    <xf numFmtId="170" fontId="7" fillId="15" borderId="30" xfId="3" applyNumberFormat="1" applyFont="1" applyFill="1" applyBorder="1" applyAlignment="1" applyProtection="1">
      <alignment vertical="center"/>
    </xf>
    <xf numFmtId="1" fontId="23" fillId="5" borderId="1" xfId="0" applyNumberFormat="1" applyFont="1" applyFill="1" applyBorder="1" applyAlignment="1">
      <alignment horizontal="left" vertical="center" wrapText="1"/>
    </xf>
    <xf numFmtId="1" fontId="23" fillId="7" borderId="1" xfId="0" applyNumberFormat="1" applyFont="1" applyFill="1" applyBorder="1" applyAlignment="1">
      <alignment horizontal="left" vertical="center" wrapText="1"/>
    </xf>
    <xf numFmtId="2" fontId="32" fillId="0" borderId="0" xfId="0" applyNumberFormat="1" applyFont="1" applyFill="1" applyAlignment="1" applyProtection="1">
      <alignment vertical="center"/>
    </xf>
    <xf numFmtId="2" fontId="32" fillId="0" borderId="31" xfId="0" applyNumberFormat="1" applyFont="1" applyFill="1" applyBorder="1" applyAlignment="1" applyProtection="1">
      <alignment vertical="center"/>
    </xf>
    <xf numFmtId="4" fontId="8" fillId="3" borderId="0" xfId="0" applyNumberFormat="1" applyFont="1" applyFill="1" applyBorder="1" applyAlignment="1" applyProtection="1">
      <alignment vertical="center"/>
    </xf>
    <xf numFmtId="4" fontId="8" fillId="3" borderId="0" xfId="3" applyNumberFormat="1" applyFont="1" applyFill="1" applyBorder="1" applyAlignment="1" applyProtection="1">
      <alignment vertical="center"/>
    </xf>
    <xf numFmtId="4" fontId="8" fillId="3" borderId="0" xfId="3" applyNumberFormat="1" applyFont="1" applyFill="1" applyBorder="1" applyAlignment="1" applyProtection="1">
      <alignment horizontal="left" vertical="center"/>
    </xf>
    <xf numFmtId="0" fontId="8" fillId="9" borderId="0" xfId="0" applyFont="1" applyFill="1" applyBorder="1" applyAlignment="1">
      <alignment horizontal="left" vertical="center"/>
    </xf>
    <xf numFmtId="0" fontId="8" fillId="9" borderId="0" xfId="0" applyFont="1" applyFill="1" applyBorder="1" applyAlignment="1">
      <alignment vertical="center"/>
    </xf>
    <xf numFmtId="0" fontId="8" fillId="9" borderId="0" xfId="0" applyFont="1" applyFill="1" applyBorder="1" applyAlignment="1">
      <alignment horizontal="center" vertical="center"/>
    </xf>
    <xf numFmtId="4" fontId="8" fillId="9" borderId="0" xfId="3" applyNumberFormat="1" applyFont="1" applyFill="1" applyBorder="1" applyAlignment="1" applyProtection="1">
      <alignment vertical="center"/>
    </xf>
    <xf numFmtId="167" fontId="8" fillId="9" borderId="0" xfId="3" applyNumberFormat="1" applyFont="1" applyFill="1" applyBorder="1" applyAlignment="1" applyProtection="1">
      <alignment horizontal="center" vertical="center"/>
    </xf>
    <xf numFmtId="0" fontId="8" fillId="9" borderId="0" xfId="0" applyFont="1" applyFill="1" applyBorder="1" applyAlignment="1" applyProtection="1">
      <alignment vertical="center"/>
    </xf>
    <xf numFmtId="4" fontId="8" fillId="9" borderId="0" xfId="0" applyNumberFormat="1" applyFont="1" applyFill="1" applyBorder="1" applyAlignment="1" applyProtection="1">
      <alignment vertical="center"/>
    </xf>
    <xf numFmtId="0" fontId="8" fillId="9" borderId="0" xfId="0" applyFont="1" applyFill="1" applyAlignment="1" applyProtection="1">
      <alignment vertical="center"/>
    </xf>
    <xf numFmtId="4" fontId="8" fillId="9" borderId="0" xfId="0" applyNumberFormat="1" applyFont="1" applyFill="1" applyAlignment="1" applyProtection="1">
      <alignment vertical="center"/>
    </xf>
    <xf numFmtId="2" fontId="8" fillId="9" borderId="0" xfId="0" applyNumberFormat="1" applyFont="1" applyFill="1" applyAlignment="1" applyProtection="1">
      <alignment horizontal="left" vertical="center"/>
    </xf>
    <xf numFmtId="0" fontId="8" fillId="0" borderId="29" xfId="0" applyFont="1" applyFill="1" applyBorder="1" applyAlignment="1" applyProtection="1">
      <alignment horizontal="center" vertical="center"/>
    </xf>
    <xf numFmtId="167" fontId="8" fillId="0" borderId="29" xfId="3" applyFont="1" applyFill="1" applyBorder="1" applyAlignment="1" applyProtection="1">
      <alignment horizontal="center" vertical="center"/>
    </xf>
    <xf numFmtId="2" fontId="8" fillId="0" borderId="29" xfId="3" applyNumberFormat="1" applyFont="1" applyFill="1" applyBorder="1" applyAlignment="1" applyProtection="1">
      <alignment vertical="center"/>
    </xf>
    <xf numFmtId="4" fontId="8" fillId="0" borderId="29" xfId="3" applyNumberFormat="1" applyFont="1" applyFill="1" applyBorder="1" applyAlignment="1" applyProtection="1">
      <alignment vertical="center"/>
    </xf>
    <xf numFmtId="173" fontId="8" fillId="0" borderId="29" xfId="3" applyNumberFormat="1" applyFont="1" applyFill="1" applyBorder="1" applyAlignment="1" applyProtection="1">
      <alignment vertical="center"/>
    </xf>
    <xf numFmtId="4" fontId="8" fillId="0" borderId="30" xfId="3" applyNumberFormat="1" applyFont="1" applyFill="1" applyBorder="1" applyAlignment="1" applyProtection="1">
      <alignment vertical="center"/>
    </xf>
    <xf numFmtId="4" fontId="8" fillId="9" borderId="0" xfId="3" applyNumberFormat="1" applyFont="1" applyFill="1" applyBorder="1" applyAlignment="1" applyProtection="1">
      <alignment horizontal="left" vertical="center"/>
    </xf>
    <xf numFmtId="4" fontId="8" fillId="9" borderId="0" xfId="0" applyNumberFormat="1" applyFont="1" applyFill="1" applyBorder="1" applyAlignment="1">
      <alignment horizontal="center" vertical="center"/>
    </xf>
    <xf numFmtId="4" fontId="8" fillId="9" borderId="0" xfId="0" applyNumberFormat="1" applyFont="1" applyFill="1" applyBorder="1" applyAlignment="1">
      <alignment vertical="center"/>
    </xf>
    <xf numFmtId="0" fontId="8" fillId="16" borderId="0" xfId="0" applyFont="1" applyFill="1" applyBorder="1" applyAlignment="1">
      <alignment vertical="center"/>
    </xf>
    <xf numFmtId="167" fontId="8" fillId="16" borderId="0" xfId="3" applyNumberFormat="1" applyFont="1" applyFill="1" applyBorder="1" applyAlignment="1" applyProtection="1">
      <alignment horizontal="center" vertical="center"/>
    </xf>
    <xf numFmtId="4" fontId="8" fillId="16" borderId="0" xfId="3" applyNumberFormat="1" applyFont="1" applyFill="1" applyBorder="1" applyAlignment="1" applyProtection="1">
      <alignment vertical="center"/>
    </xf>
    <xf numFmtId="0" fontId="8" fillId="16" borderId="0" xfId="0" applyFont="1" applyFill="1" applyBorder="1" applyAlignment="1" applyProtection="1">
      <alignment vertical="center"/>
    </xf>
    <xf numFmtId="4" fontId="8" fillId="16" borderId="0" xfId="0" applyNumberFormat="1" applyFont="1" applyFill="1" applyBorder="1" applyAlignment="1" applyProtection="1">
      <alignment vertical="center"/>
    </xf>
    <xf numFmtId="0" fontId="8" fillId="16" borderId="0" xfId="0" applyFont="1" applyFill="1" applyAlignment="1" applyProtection="1">
      <alignment vertical="center"/>
    </xf>
    <xf numFmtId="4" fontId="8" fillId="16" borderId="0" xfId="0" applyNumberFormat="1" applyFont="1" applyFill="1" applyAlignment="1" applyProtection="1">
      <alignment horizontal="left" vertical="center"/>
    </xf>
    <xf numFmtId="2" fontId="8" fillId="16" borderId="0" xfId="0" applyNumberFormat="1" applyFont="1" applyFill="1" applyBorder="1" applyAlignment="1" applyProtection="1">
      <alignment vertical="center"/>
    </xf>
    <xf numFmtId="0" fontId="8" fillId="16" borderId="0" xfId="0" applyFont="1" applyFill="1" applyBorder="1" applyAlignment="1">
      <alignment horizontal="left" vertical="center"/>
    </xf>
    <xf numFmtId="4" fontId="8" fillId="16" borderId="0" xfId="3" applyNumberFormat="1" applyFont="1" applyFill="1" applyBorder="1" applyAlignment="1" applyProtection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12" fillId="9" borderId="32" xfId="0" quotePrefix="1" applyFont="1" applyFill="1" applyBorder="1" applyAlignment="1">
      <alignment horizontal="center" vertical="center" wrapText="1"/>
    </xf>
    <xf numFmtId="0" fontId="12" fillId="9" borderId="33" xfId="0" applyFont="1" applyFill="1" applyBorder="1" applyAlignment="1">
      <alignment horizontal="center" vertical="center" wrapText="1"/>
    </xf>
    <xf numFmtId="4" fontId="12" fillId="9" borderId="33" xfId="0" applyNumberFormat="1" applyFont="1" applyFill="1" applyBorder="1" applyAlignment="1">
      <alignment horizontal="center" vertical="center" wrapText="1"/>
    </xf>
    <xf numFmtId="172" fontId="12" fillId="9" borderId="33" xfId="0" applyNumberFormat="1" applyFont="1" applyFill="1" applyBorder="1" applyAlignment="1">
      <alignment horizontal="center" vertical="center" wrapText="1"/>
    </xf>
    <xf numFmtId="0" fontId="12" fillId="9" borderId="3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 applyProtection="1">
      <alignment horizontal="center" vertical="center"/>
    </xf>
    <xf numFmtId="167" fontId="8" fillId="0" borderId="6" xfId="3" applyFont="1" applyFill="1" applyBorder="1" applyAlignment="1" applyProtection="1">
      <alignment horizontal="center" vertical="center"/>
    </xf>
    <xf numFmtId="2" fontId="8" fillId="0" borderId="6" xfId="3" applyNumberFormat="1" applyFont="1" applyFill="1" applyBorder="1" applyAlignment="1" applyProtection="1">
      <alignment vertical="center"/>
    </xf>
    <xf numFmtId="4" fontId="4" fillId="0" borderId="6" xfId="3" applyNumberFormat="1" applyFont="1" applyFill="1" applyBorder="1" applyAlignment="1" applyProtection="1">
      <alignment vertical="center"/>
    </xf>
    <xf numFmtId="173" fontId="8" fillId="0" borderId="6" xfId="3" applyNumberFormat="1" applyFont="1" applyFill="1" applyBorder="1" applyAlignment="1" applyProtection="1">
      <alignment vertical="center"/>
    </xf>
    <xf numFmtId="173" fontId="8" fillId="0" borderId="6" xfId="3" applyNumberFormat="1" applyFont="1" applyFill="1" applyBorder="1" applyAlignment="1">
      <alignment horizontal="right" vertical="center"/>
    </xf>
    <xf numFmtId="173" fontId="8" fillId="0" borderId="6" xfId="3" applyNumberFormat="1" applyFont="1" applyFill="1" applyBorder="1" applyAlignment="1" applyProtection="1">
      <alignment horizontal="right" vertical="center"/>
    </xf>
    <xf numFmtId="170" fontId="8" fillId="0" borderId="6" xfId="3" applyNumberFormat="1" applyFont="1" applyFill="1" applyBorder="1" applyAlignment="1" applyProtection="1">
      <alignment horizontal="right" vertical="center"/>
    </xf>
    <xf numFmtId="170" fontId="8" fillId="0" borderId="6" xfId="3" applyNumberFormat="1" applyFont="1" applyFill="1" applyBorder="1" applyAlignment="1" applyProtection="1">
      <alignment vertical="center"/>
    </xf>
    <xf numFmtId="170" fontId="8" fillId="0" borderId="35" xfId="3" applyNumberFormat="1" applyFont="1" applyFill="1" applyBorder="1" applyAlignment="1" applyProtection="1">
      <alignment vertical="center"/>
    </xf>
    <xf numFmtId="0" fontId="0" fillId="3" borderId="0" xfId="0" applyFill="1" applyBorder="1" applyAlignment="1">
      <alignment horizontal="center" vertical="center" wrapText="1"/>
    </xf>
    <xf numFmtId="0" fontId="3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49" fontId="24" fillId="0" borderId="0" xfId="0" applyNumberFormat="1" applyFont="1" applyAlignment="1">
      <alignment vertical="top" wrapText="1"/>
    </xf>
    <xf numFmtId="49" fontId="24" fillId="0" borderId="0" xfId="0" applyNumberFormat="1" applyFont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1" fontId="23" fillId="0" borderId="1" xfId="0" applyNumberFormat="1" applyFont="1" applyBorder="1" applyAlignment="1">
      <alignment horizontal="center" vertical="center" wrapText="1"/>
    </xf>
    <xf numFmtId="1" fontId="23" fillId="0" borderId="50" xfId="0" applyNumberFormat="1" applyFont="1" applyBorder="1" applyAlignment="1">
      <alignment horizontal="left"/>
    </xf>
    <xf numFmtId="0" fontId="23" fillId="0" borderId="50" xfId="0" applyFont="1" applyBorder="1" applyAlignment="1">
      <alignment horizontal="right"/>
    </xf>
    <xf numFmtId="1" fontId="23" fillId="0" borderId="50" xfId="0" applyNumberFormat="1" applyFont="1" applyBorder="1" applyAlignment="1">
      <alignment horizontal="center" vertical="center"/>
    </xf>
    <xf numFmtId="0" fontId="4" fillId="3" borderId="0" xfId="0" applyFont="1" applyFill="1"/>
    <xf numFmtId="165" fontId="1" fillId="3" borderId="0" xfId="5" applyFill="1"/>
    <xf numFmtId="0" fontId="24" fillId="3" borderId="49" xfId="0" applyFont="1" applyFill="1" applyBorder="1" applyAlignment="1">
      <alignment horizontal="center" vertical="center" wrapText="1"/>
    </xf>
    <xf numFmtId="1" fontId="23" fillId="3" borderId="1" xfId="0" applyNumberFormat="1" applyFont="1" applyFill="1" applyBorder="1" applyAlignment="1">
      <alignment horizontal="center" vertical="center" wrapText="1"/>
    </xf>
    <xf numFmtId="0" fontId="23" fillId="3" borderId="50" xfId="0" applyFont="1" applyFill="1" applyBorder="1" applyAlignment="1">
      <alignment horizontal="right"/>
    </xf>
    <xf numFmtId="165" fontId="1" fillId="3" borderId="50" xfId="5" applyFill="1" applyBorder="1" applyAlignment="1">
      <alignment horizontal="right"/>
    </xf>
    <xf numFmtId="0" fontId="32" fillId="0" borderId="0" xfId="0" applyFont="1"/>
    <xf numFmtId="0" fontId="23" fillId="5" borderId="0" xfId="0" applyFont="1" applyFill="1" applyAlignment="1">
      <alignment vertical="center" wrapText="1"/>
    </xf>
    <xf numFmtId="0" fontId="23" fillId="5" borderId="1" xfId="6" applyFont="1" applyFill="1" applyBorder="1" applyAlignment="1">
      <alignment vertical="center"/>
    </xf>
    <xf numFmtId="0" fontId="23" fillId="6" borderId="1" xfId="0" applyFont="1" applyFill="1" applyBorder="1"/>
    <xf numFmtId="0" fontId="23" fillId="6" borderId="1" xfId="6" applyFont="1" applyFill="1" applyBorder="1" applyAlignment="1">
      <alignment vertical="center"/>
    </xf>
    <xf numFmtId="0" fontId="23" fillId="6" borderId="0" xfId="0" applyFont="1" applyFill="1"/>
    <xf numFmtId="0" fontId="23" fillId="6" borderId="44" xfId="6" applyFont="1" applyFill="1" applyBorder="1" applyAlignment="1">
      <alignment vertical="center"/>
    </xf>
    <xf numFmtId="0" fontId="23" fillId="5" borderId="1" xfId="0" applyFont="1" applyFill="1" applyBorder="1"/>
    <xf numFmtId="0" fontId="23" fillId="6" borderId="44" xfId="0" applyFont="1" applyFill="1" applyBorder="1"/>
    <xf numFmtId="0" fontId="23" fillId="4" borderId="1" xfId="0" applyFont="1" applyFill="1" applyBorder="1"/>
    <xf numFmtId="0" fontId="23" fillId="4" borderId="44" xfId="0" applyFont="1" applyFill="1" applyBorder="1"/>
    <xf numFmtId="0" fontId="23" fillId="5" borderId="0" xfId="0" applyFont="1" applyFill="1" applyAlignment="1">
      <alignment wrapText="1"/>
    </xf>
    <xf numFmtId="0" fontId="23" fillId="0" borderId="0" xfId="0" applyFont="1" applyAlignment="1">
      <alignment vertical="top" wrapText="1"/>
    </xf>
    <xf numFmtId="0" fontId="5" fillId="0" borderId="0" xfId="0" applyFont="1"/>
    <xf numFmtId="0" fontId="13" fillId="0" borderId="51" xfId="0" applyFont="1" applyBorder="1"/>
    <xf numFmtId="173" fontId="4" fillId="17" borderId="1" xfId="4" applyNumberFormat="1" applyFill="1" applyBorder="1" applyAlignment="1" applyProtection="1">
      <alignment horizontal="center"/>
    </xf>
    <xf numFmtId="0" fontId="13" fillId="0" borderId="1" xfId="0" applyFont="1" applyBorder="1" applyAlignment="1">
      <alignment horizontal="center"/>
    </xf>
    <xf numFmtId="172" fontId="13" fillId="0" borderId="1" xfId="0" applyNumberFormat="1" applyFont="1" applyBorder="1" applyAlignment="1">
      <alignment horizontal="center"/>
    </xf>
    <xf numFmtId="0" fontId="13" fillId="0" borderId="1" xfId="0" applyFont="1" applyBorder="1" applyAlignment="1">
      <alignment horizontal="center" vertical="center"/>
    </xf>
    <xf numFmtId="172" fontId="13" fillId="0" borderId="1" xfId="0" applyNumberFormat="1" applyFont="1" applyBorder="1" applyAlignment="1">
      <alignment horizontal="center" vertical="center"/>
    </xf>
    <xf numFmtId="0" fontId="5" fillId="3" borderId="17" xfId="0" applyFont="1" applyFill="1" applyBorder="1"/>
    <xf numFmtId="0" fontId="5" fillId="3" borderId="0" xfId="0" applyFont="1" applyFill="1"/>
    <xf numFmtId="173" fontId="4" fillId="0" borderId="1" xfId="4" applyNumberFormat="1" applyFill="1" applyBorder="1" applyAlignment="1" applyProtection="1">
      <alignment horizontal="center"/>
    </xf>
    <xf numFmtId="0" fontId="5" fillId="3" borderId="36" xfId="0" applyFont="1" applyFill="1" applyBorder="1"/>
    <xf numFmtId="0" fontId="5" fillId="0" borderId="1" xfId="0" applyFont="1" applyBorder="1" applyAlignment="1">
      <alignment horizontal="center" vertical="center"/>
    </xf>
    <xf numFmtId="172" fontId="5" fillId="0" borderId="1" xfId="0" applyNumberFormat="1" applyFont="1" applyBorder="1" applyAlignment="1">
      <alignment horizontal="center" vertical="center"/>
    </xf>
    <xf numFmtId="172" fontId="5" fillId="0" borderId="1" xfId="0" applyNumberFormat="1" applyFont="1" applyBorder="1" applyAlignment="1">
      <alignment horizontal="center"/>
    </xf>
    <xf numFmtId="0" fontId="5" fillId="0" borderId="0" xfId="0" applyFont="1" applyAlignment="1">
      <alignment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 applyAlignment="1">
      <alignment horizontal="center"/>
    </xf>
    <xf numFmtId="4" fontId="5" fillId="3" borderId="0" xfId="0" applyNumberFormat="1" applyFont="1" applyFill="1" applyAlignment="1">
      <alignment horizontal="center"/>
    </xf>
    <xf numFmtId="172" fontId="5" fillId="0" borderId="0" xfId="0" applyNumberFormat="1" applyFont="1" applyAlignment="1">
      <alignment horizontal="center"/>
    </xf>
    <xf numFmtId="0" fontId="2" fillId="3" borderId="0" xfId="0" applyFont="1" applyFill="1" applyBorder="1" applyAlignment="1">
      <alignment vertical="center"/>
    </xf>
    <xf numFmtId="0" fontId="20" fillId="3" borderId="0" xfId="0" applyFont="1" applyFill="1" applyBorder="1" applyAlignment="1">
      <alignment vertical="center"/>
    </xf>
    <xf numFmtId="0" fontId="21" fillId="3" borderId="0" xfId="0" applyFont="1" applyFill="1" applyBorder="1" applyAlignment="1" applyProtection="1">
      <alignment horizontal="center" vertical="center"/>
      <protection locked="0"/>
    </xf>
    <xf numFmtId="0" fontId="22" fillId="3" borderId="0" xfId="0" applyFont="1" applyFill="1" applyBorder="1" applyAlignment="1">
      <alignment vertical="center"/>
    </xf>
    <xf numFmtId="0" fontId="21" fillId="3" borderId="0" xfId="0" applyFont="1" applyFill="1" applyBorder="1" applyAlignment="1" applyProtection="1">
      <alignment horizontal="center" vertical="top"/>
      <protection locked="0"/>
    </xf>
    <xf numFmtId="0" fontId="0" fillId="3" borderId="0" xfId="0" applyFont="1" applyFill="1" applyBorder="1" applyAlignment="1">
      <alignment vertical="center"/>
    </xf>
    <xf numFmtId="0" fontId="0" fillId="3" borderId="0" xfId="0" applyFont="1" applyFill="1" applyBorder="1" applyAlignment="1">
      <alignment horizontal="center" vertical="center" wrapText="1"/>
    </xf>
    <xf numFmtId="173" fontId="8" fillId="0" borderId="33" xfId="3" applyNumberFormat="1" applyFont="1" applyFill="1" applyBorder="1" applyAlignment="1" applyProtection="1">
      <alignment vertical="center"/>
    </xf>
    <xf numFmtId="0" fontId="23" fillId="3" borderId="1" xfId="0" applyFont="1" applyFill="1" applyBorder="1" applyAlignment="1">
      <alignment vertical="center" wrapText="1"/>
    </xf>
    <xf numFmtId="176" fontId="1" fillId="0" borderId="1" xfId="4" applyNumberFormat="1" applyFont="1" applyBorder="1" applyAlignment="1">
      <alignment horizontal="center"/>
    </xf>
    <xf numFmtId="0" fontId="0" fillId="3" borderId="0" xfId="0" applyFill="1" applyBorder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25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/>
    </xf>
    <xf numFmtId="0" fontId="2" fillId="3" borderId="27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169" fontId="4" fillId="3" borderId="0" xfId="4" applyFill="1" applyBorder="1" applyAlignment="1">
      <alignment vertical="center"/>
    </xf>
    <xf numFmtId="169" fontId="4" fillId="3" borderId="0" xfId="4" applyFill="1" applyAlignment="1">
      <alignment vertical="center"/>
    </xf>
    <xf numFmtId="0" fontId="21" fillId="3" borderId="0" xfId="0" applyFont="1" applyFill="1" applyBorder="1" applyAlignment="1" applyProtection="1">
      <alignment vertical="top"/>
      <protection locked="0"/>
    </xf>
    <xf numFmtId="0" fontId="0" fillId="3" borderId="0" xfId="0" applyFont="1" applyFill="1" applyAlignment="1">
      <alignment vertical="center"/>
    </xf>
    <xf numFmtId="0" fontId="30" fillId="3" borderId="0" xfId="0" applyFont="1" applyFill="1" applyBorder="1" applyAlignment="1">
      <alignment horizontal="center" vertical="center" wrapText="1"/>
    </xf>
    <xf numFmtId="173" fontId="0" fillId="6" borderId="1" xfId="4" applyNumberFormat="1" applyFont="1" applyFill="1" applyBorder="1" applyAlignment="1" applyProtection="1">
      <alignment horizontal="center"/>
    </xf>
    <xf numFmtId="173" fontId="4" fillId="6" borderId="1" xfId="4" applyNumberFormat="1" applyFill="1" applyBorder="1" applyAlignment="1" applyProtection="1">
      <alignment horizontal="center"/>
    </xf>
    <xf numFmtId="173" fontId="13" fillId="6" borderId="1" xfId="3" applyNumberFormat="1" applyFont="1" applyFill="1" applyBorder="1" applyAlignment="1" applyProtection="1">
      <alignment horizontal="center" vertical="center"/>
    </xf>
    <xf numFmtId="0" fontId="5" fillId="6" borderId="0" xfId="0" applyFont="1" applyFill="1"/>
    <xf numFmtId="173" fontId="4" fillId="4" borderId="1" xfId="4" applyNumberFormat="1" applyFill="1" applyBorder="1" applyAlignment="1" applyProtection="1">
      <alignment horizontal="center"/>
    </xf>
    <xf numFmtId="0" fontId="38" fillId="3" borderId="0" xfId="0" applyFont="1" applyFill="1" applyAlignment="1">
      <alignment horizontal="center" vertical="center"/>
    </xf>
    <xf numFmtId="0" fontId="38" fillId="3" borderId="0" xfId="0" applyFont="1" applyFill="1" applyAlignment="1">
      <alignment vertical="center"/>
    </xf>
    <xf numFmtId="0" fontId="37" fillId="3" borderId="0" xfId="0" applyFont="1" applyFill="1" applyAlignment="1">
      <alignment horizontal="center" vertical="center"/>
    </xf>
    <xf numFmtId="0" fontId="37" fillId="3" borderId="0" xfId="0" applyFont="1" applyFill="1" applyAlignment="1">
      <alignment vertical="center"/>
    </xf>
    <xf numFmtId="0" fontId="0" fillId="0" borderId="0" xfId="0" applyAlignment="1"/>
    <xf numFmtId="0" fontId="37" fillId="9" borderId="1" xfId="0" applyFont="1" applyFill="1" applyBorder="1" applyAlignment="1">
      <alignment horizontal="center" vertical="center"/>
    </xf>
    <xf numFmtId="0" fontId="37" fillId="9" borderId="1" xfId="6" applyFont="1" applyFill="1" applyBorder="1" applyAlignment="1">
      <alignment horizontal="center" vertical="center"/>
    </xf>
    <xf numFmtId="2" fontId="37" fillId="9" borderId="1" xfId="6" applyNumberFormat="1" applyFont="1" applyFill="1" applyBorder="1" applyAlignment="1">
      <alignment horizontal="center" vertical="center" wrapText="1"/>
    </xf>
    <xf numFmtId="0" fontId="37" fillId="16" borderId="1" xfId="6" applyFont="1" applyFill="1" applyBorder="1" applyAlignment="1">
      <alignment horizontal="center" vertical="center" wrapText="1"/>
    </xf>
    <xf numFmtId="0" fontId="5" fillId="0" borderId="53" xfId="0" applyFont="1" applyBorder="1"/>
    <xf numFmtId="0" fontId="5" fillId="3" borderId="0" xfId="0" applyFont="1" applyFill="1" applyBorder="1"/>
    <xf numFmtId="0" fontId="23" fillId="6" borderId="0" xfId="0" applyFont="1" applyFill="1" applyBorder="1"/>
    <xf numFmtId="0" fontId="0" fillId="6" borderId="0" xfId="0" applyFill="1" applyAlignment="1">
      <alignment horizontal="left"/>
    </xf>
    <xf numFmtId="173" fontId="0" fillId="18" borderId="1" xfId="4" applyNumberFormat="1" applyFont="1" applyFill="1" applyBorder="1" applyAlignment="1" applyProtection="1">
      <alignment horizontal="center"/>
    </xf>
    <xf numFmtId="0" fontId="35" fillId="11" borderId="14" xfId="0" applyFont="1" applyFill="1" applyBorder="1" applyAlignment="1">
      <alignment vertical="center"/>
    </xf>
    <xf numFmtId="0" fontId="35" fillId="11" borderId="15" xfId="0" applyFont="1" applyFill="1" applyBorder="1" applyAlignment="1">
      <alignment vertical="center"/>
    </xf>
    <xf numFmtId="173" fontId="0" fillId="7" borderId="1" xfId="4" applyNumberFormat="1" applyFont="1" applyFill="1" applyBorder="1" applyAlignment="1" applyProtection="1">
      <alignment horizontal="center"/>
    </xf>
    <xf numFmtId="1" fontId="23" fillId="0" borderId="0" xfId="0" applyNumberFormat="1" applyFont="1" applyBorder="1" applyAlignment="1">
      <alignment horizontal="left"/>
    </xf>
    <xf numFmtId="165" fontId="2" fillId="3" borderId="39" xfId="5" applyFont="1" applyFill="1" applyBorder="1" applyAlignment="1">
      <alignment horizontal="center" vertical="center" wrapText="1"/>
    </xf>
    <xf numFmtId="165" fontId="1" fillId="3" borderId="63" xfId="5" applyFill="1" applyBorder="1" applyAlignment="1">
      <alignment horizontal="right"/>
    </xf>
    <xf numFmtId="0" fontId="23" fillId="0" borderId="4" xfId="0" applyFont="1" applyBorder="1" applyAlignment="1">
      <alignment horizontal="right"/>
    </xf>
    <xf numFmtId="173" fontId="0" fillId="19" borderId="1" xfId="4" applyNumberFormat="1" applyFont="1" applyFill="1" applyBorder="1" applyAlignment="1" applyProtection="1">
      <alignment horizontal="center"/>
    </xf>
    <xf numFmtId="173" fontId="4" fillId="19" borderId="1" xfId="4" applyNumberFormat="1" applyFill="1" applyBorder="1" applyAlignment="1" applyProtection="1">
      <alignment horizontal="center"/>
    </xf>
    <xf numFmtId="0" fontId="38" fillId="0" borderId="22" xfId="0" applyFont="1" applyFill="1" applyBorder="1" applyAlignment="1">
      <alignment horizontal="center" vertical="center"/>
    </xf>
    <xf numFmtId="0" fontId="38" fillId="0" borderId="44" xfId="0" applyFont="1" applyFill="1" applyBorder="1" applyAlignment="1">
      <alignment horizontal="center" wrapText="1"/>
    </xf>
    <xf numFmtId="0" fontId="38" fillId="0" borderId="20" xfId="6" applyFont="1" applyFill="1" applyBorder="1" applyAlignment="1" applyProtection="1">
      <alignment horizontal="center" vertical="center" wrapText="1"/>
    </xf>
    <xf numFmtId="0" fontId="38" fillId="0" borderId="1" xfId="0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vertical="center" wrapText="1"/>
    </xf>
    <xf numFmtId="0" fontId="38" fillId="0" borderId="1" xfId="6" applyFont="1" applyFill="1" applyBorder="1" applyAlignment="1" applyProtection="1">
      <alignment horizontal="center" vertical="center" wrapText="1"/>
    </xf>
    <xf numFmtId="177" fontId="37" fillId="0" borderId="22" xfId="0" applyNumberFormat="1" applyFont="1" applyFill="1" applyBorder="1" applyAlignment="1">
      <alignment horizontal="center" vertical="center"/>
    </xf>
    <xf numFmtId="0" fontId="38" fillId="0" borderId="1" xfId="6" applyFont="1" applyFill="1" applyBorder="1" applyAlignment="1" applyProtection="1">
      <alignment horizontal="left" vertical="center" wrapText="1"/>
    </xf>
    <xf numFmtId="0" fontId="38" fillId="0" borderId="1" xfId="6" applyFont="1" applyFill="1" applyBorder="1" applyAlignment="1" applyProtection="1">
      <alignment horizontal="center" vertical="center"/>
    </xf>
    <xf numFmtId="0" fontId="38" fillId="0" borderId="20" xfId="6" applyFont="1" applyFill="1" applyBorder="1" applyAlignment="1" applyProtection="1">
      <alignment horizontal="center" vertical="center"/>
    </xf>
    <xf numFmtId="0" fontId="38" fillId="0" borderId="1" xfId="0" applyFont="1" applyFill="1" applyBorder="1" applyAlignment="1">
      <alignment horizontal="center" wrapText="1"/>
    </xf>
    <xf numFmtId="0" fontId="38" fillId="0" borderId="1" xfId="0" applyFont="1" applyFill="1" applyBorder="1" applyAlignment="1">
      <alignment horizontal="left" wrapText="1"/>
    </xf>
    <xf numFmtId="0" fontId="38" fillId="0" borderId="1" xfId="6" quotePrefix="1" applyFont="1" applyFill="1" applyBorder="1" applyAlignment="1" applyProtection="1">
      <alignment horizontal="left" vertical="center" wrapText="1"/>
    </xf>
    <xf numFmtId="0" fontId="38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left" vertical="center" wrapText="1"/>
    </xf>
    <xf numFmtId="177" fontId="39" fillId="0" borderId="22" xfId="0" applyNumberFormat="1" applyFont="1" applyFill="1" applyBorder="1" applyAlignment="1">
      <alignment horizontal="center" vertical="center"/>
    </xf>
    <xf numFmtId="0" fontId="38" fillId="0" borderId="6" xfId="0" applyFont="1" applyFill="1" applyBorder="1" applyAlignment="1">
      <alignment horizontal="center" vertical="center" wrapText="1"/>
    </xf>
    <xf numFmtId="0" fontId="38" fillId="0" borderId="6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7" fontId="37" fillId="0" borderId="22" xfId="0" applyNumberFormat="1" applyFont="1" applyFill="1" applyBorder="1" applyAlignment="1">
      <alignment horizontal="center" vertical="top" wrapText="1"/>
    </xf>
    <xf numFmtId="177" fontId="37" fillId="0" borderId="64" xfId="0" applyNumberFormat="1" applyFont="1" applyFill="1" applyBorder="1" applyAlignment="1">
      <alignment horizontal="center" vertical="center"/>
    </xf>
    <xf numFmtId="0" fontId="38" fillId="0" borderId="44" xfId="0" applyFont="1" applyFill="1" applyBorder="1" applyAlignment="1">
      <alignment horizontal="left" wrapText="1"/>
    </xf>
    <xf numFmtId="0" fontId="38" fillId="0" borderId="65" xfId="0" applyFont="1" applyFill="1" applyBorder="1" applyAlignment="1">
      <alignment horizontal="center" wrapText="1"/>
    </xf>
    <xf numFmtId="177" fontId="39" fillId="0" borderId="66" xfId="0" applyNumberFormat="1" applyFont="1" applyFill="1" applyBorder="1" applyAlignment="1">
      <alignment horizontal="center" wrapText="1"/>
    </xf>
    <xf numFmtId="0" fontId="38" fillId="0" borderId="20" xfId="0" applyFont="1" applyFill="1" applyBorder="1" applyAlignment="1">
      <alignment horizontal="center" vertical="center"/>
    </xf>
    <xf numFmtId="0" fontId="38" fillId="0" borderId="20" xfId="0" applyFont="1" applyFill="1" applyBorder="1" applyAlignment="1">
      <alignment horizontal="center" vertical="center" wrapText="1"/>
    </xf>
    <xf numFmtId="0" fontId="38" fillId="0" borderId="0" xfId="0" applyFont="1" applyFill="1" applyBorder="1" applyAlignment="1">
      <alignment horizontal="center" wrapText="1"/>
    </xf>
    <xf numFmtId="0" fontId="38" fillId="0" borderId="20" xfId="0" applyFont="1" applyFill="1" applyBorder="1" applyAlignment="1">
      <alignment horizontal="center" wrapText="1"/>
    </xf>
    <xf numFmtId="177" fontId="37" fillId="0" borderId="64" xfId="0" applyNumberFormat="1" applyFont="1" applyFill="1" applyBorder="1" applyAlignment="1">
      <alignment horizontal="center" vertical="center" wrapText="1"/>
    </xf>
    <xf numFmtId="0" fontId="38" fillId="0" borderId="1" xfId="6" quotePrefix="1" applyFont="1" applyFill="1" applyBorder="1" applyAlignment="1" applyProtection="1">
      <alignment horizontal="center" vertical="center"/>
    </xf>
    <xf numFmtId="0" fontId="38" fillId="0" borderId="21" xfId="0" applyFont="1" applyFill="1" applyBorder="1" applyAlignment="1">
      <alignment horizontal="center" vertical="center" wrapText="1"/>
    </xf>
    <xf numFmtId="0" fontId="38" fillId="0" borderId="21" xfId="0" applyFont="1" applyFill="1" applyBorder="1" applyAlignment="1">
      <alignment horizontal="left" vertical="center" wrapText="1"/>
    </xf>
    <xf numFmtId="0" fontId="38" fillId="0" borderId="21" xfId="6" quotePrefix="1" applyFont="1" applyFill="1" applyBorder="1" applyAlignment="1" applyProtection="1">
      <alignment horizontal="center" vertical="center"/>
    </xf>
    <xf numFmtId="0" fontId="38" fillId="0" borderId="24" xfId="6" applyFont="1" applyFill="1" applyBorder="1" applyAlignment="1" applyProtection="1">
      <alignment horizontal="center" vertical="center"/>
    </xf>
    <xf numFmtId="177" fontId="37" fillId="0" borderId="15" xfId="0" applyNumberFormat="1" applyFont="1" applyFill="1" applyBorder="1" applyAlignment="1">
      <alignment horizontal="center" vertical="center"/>
    </xf>
    <xf numFmtId="17" fontId="0" fillId="3" borderId="0" xfId="0" applyNumberFormat="1" applyFill="1" applyBorder="1" applyAlignment="1">
      <alignment horizontal="center" vertical="center" wrapText="1"/>
    </xf>
    <xf numFmtId="173" fontId="0" fillId="20" borderId="1" xfId="4" applyNumberFormat="1" applyFont="1" applyFill="1" applyBorder="1" applyAlignment="1" applyProtection="1">
      <alignment horizontal="center"/>
    </xf>
    <xf numFmtId="0" fontId="0" fillId="0" borderId="1" xfId="0" applyBorder="1"/>
    <xf numFmtId="0" fontId="0" fillId="0" borderId="0" xfId="0" applyAlignment="1">
      <alignment horizontal="center"/>
    </xf>
    <xf numFmtId="0" fontId="0" fillId="0" borderId="61" xfId="0" applyBorder="1"/>
    <xf numFmtId="0" fontId="12" fillId="9" borderId="25" xfId="0" quotePrefix="1" applyFont="1" applyFill="1" applyBorder="1" applyAlignment="1">
      <alignment horizontal="center" vertical="center" wrapText="1"/>
    </xf>
    <xf numFmtId="0" fontId="12" fillId="9" borderId="26" xfId="0" applyFont="1" applyFill="1" applyBorder="1" applyAlignment="1">
      <alignment horizontal="center" vertical="center" wrapText="1"/>
    </xf>
    <xf numFmtId="0" fontId="2" fillId="10" borderId="26" xfId="0" applyFont="1" applyFill="1" applyBorder="1" applyAlignment="1">
      <alignment horizontal="center"/>
    </xf>
    <xf numFmtId="43" fontId="0" fillId="0" borderId="61" xfId="0" applyNumberFormat="1" applyBorder="1"/>
    <xf numFmtId="0" fontId="2" fillId="0" borderId="0" xfId="0" applyFont="1"/>
    <xf numFmtId="0" fontId="2" fillId="10" borderId="68" xfId="0" applyFont="1" applyFill="1" applyBorder="1" applyAlignment="1">
      <alignment horizontal="center"/>
    </xf>
    <xf numFmtId="43" fontId="0" fillId="0" borderId="60" xfId="0" applyNumberFormat="1" applyBorder="1"/>
    <xf numFmtId="0" fontId="12" fillId="9" borderId="27" xfId="0" applyFont="1" applyFill="1" applyBorder="1" applyAlignment="1">
      <alignment horizontal="center" vertical="center" wrapText="1"/>
    </xf>
    <xf numFmtId="0" fontId="0" fillId="0" borderId="64" xfId="0" applyBorder="1"/>
    <xf numFmtId="0" fontId="0" fillId="0" borderId="69" xfId="0" applyBorder="1" applyAlignment="1">
      <alignment horizontal="center"/>
    </xf>
    <xf numFmtId="0" fontId="0" fillId="0" borderId="22" xfId="0" applyBorder="1"/>
    <xf numFmtId="0" fontId="0" fillId="0" borderId="20" xfId="0" applyBorder="1" applyAlignment="1">
      <alignment horizontal="center"/>
    </xf>
    <xf numFmtId="0" fontId="2" fillId="10" borderId="67" xfId="0" applyFont="1" applyFill="1" applyBorder="1" applyAlignment="1">
      <alignment horizontal="center"/>
    </xf>
    <xf numFmtId="43" fontId="0" fillId="0" borderId="70" xfId="0" applyNumberFormat="1" applyBorder="1"/>
    <xf numFmtId="0" fontId="2" fillId="10" borderId="5" xfId="0" applyFont="1" applyFill="1" applyBorder="1" applyAlignment="1">
      <alignment horizontal="center"/>
    </xf>
    <xf numFmtId="43" fontId="2" fillId="13" borderId="50" xfId="0" applyNumberFormat="1" applyFont="1" applyFill="1" applyBorder="1"/>
    <xf numFmtId="43" fontId="2" fillId="15" borderId="50" xfId="0" applyNumberFormat="1" applyFont="1" applyFill="1" applyBorder="1" applyAlignment="1"/>
    <xf numFmtId="0" fontId="0" fillId="3" borderId="14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40" fillId="0" borderId="0" xfId="0" applyFont="1"/>
    <xf numFmtId="0" fontId="0" fillId="3" borderId="14" xfId="0" applyFill="1" applyBorder="1" applyAlignment="1">
      <alignment horizontal="center" vertical="center" wrapText="1"/>
    </xf>
    <xf numFmtId="0" fontId="0" fillId="3" borderId="52" xfId="0" applyFill="1" applyBorder="1" applyAlignment="1">
      <alignment horizontal="center" vertical="center" wrapText="1"/>
    </xf>
    <xf numFmtId="0" fontId="0" fillId="3" borderId="22" xfId="0" applyFill="1" applyBorder="1" applyAlignment="1">
      <alignment horizontal="center" vertical="center" wrapText="1"/>
    </xf>
    <xf numFmtId="0" fontId="0" fillId="3" borderId="42" xfId="0" applyFill="1" applyBorder="1" applyAlignment="1">
      <alignment horizontal="center" vertical="center" wrapText="1"/>
    </xf>
    <xf numFmtId="0" fontId="0" fillId="3" borderId="42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0" fillId="3" borderId="57" xfId="0" applyFill="1" applyBorder="1" applyAlignment="1">
      <alignment horizontal="center" vertical="center" wrapText="1"/>
    </xf>
    <xf numFmtId="0" fontId="0" fillId="3" borderId="53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169" fontId="1" fillId="3" borderId="15" xfId="4" applyFont="1" applyFill="1" applyBorder="1" applyAlignment="1">
      <alignment horizontal="center" vertical="center" wrapText="1"/>
    </xf>
    <xf numFmtId="169" fontId="1" fillId="3" borderId="21" xfId="4" applyFont="1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3" borderId="58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59" xfId="0" applyFill="1" applyBorder="1" applyAlignment="1">
      <alignment horizontal="center" vertical="center" wrapText="1"/>
    </xf>
    <xf numFmtId="0" fontId="0" fillId="3" borderId="59" xfId="0" applyFont="1" applyFill="1" applyBorder="1" applyAlignment="1">
      <alignment horizontal="center" vertical="center" wrapText="1"/>
    </xf>
    <xf numFmtId="0" fontId="0" fillId="3" borderId="15" xfId="0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3" borderId="2" xfId="0" applyFont="1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0" fillId="3" borderId="29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41" xfId="0" applyFill="1" applyBorder="1" applyAlignment="1">
      <alignment horizontal="center" vertical="center"/>
    </xf>
    <xf numFmtId="0" fontId="0" fillId="3" borderId="54" xfId="0" applyFill="1" applyBorder="1" applyAlignment="1">
      <alignment horizontal="center" vertical="center" wrapText="1"/>
    </xf>
    <xf numFmtId="0" fontId="0" fillId="3" borderId="35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0" fillId="3" borderId="20" xfId="0" applyFont="1" applyFill="1" applyBorder="1" applyAlignment="1">
      <alignment horizontal="center" vertical="center" wrapText="1"/>
    </xf>
    <xf numFmtId="169" fontId="1" fillId="3" borderId="24" xfId="4" applyFont="1" applyFill="1" applyBorder="1" applyAlignment="1">
      <alignment horizontal="center" vertical="center" wrapText="1"/>
    </xf>
    <xf numFmtId="0" fontId="0" fillId="3" borderId="55" xfId="0" applyFill="1" applyBorder="1" applyAlignment="1">
      <alignment horizontal="center" vertical="center" wrapText="1"/>
    </xf>
    <xf numFmtId="0" fontId="0" fillId="3" borderId="56" xfId="0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170" fontId="34" fillId="9" borderId="1" xfId="3" applyNumberFormat="1" applyFont="1" applyFill="1" applyBorder="1" applyAlignment="1" applyProtection="1">
      <alignment horizontal="center" vertical="center"/>
    </xf>
    <xf numFmtId="170" fontId="34" fillId="9" borderId="21" xfId="3" applyNumberFormat="1" applyFont="1" applyFill="1" applyBorder="1" applyAlignment="1" applyProtection="1">
      <alignment horizontal="center" vertical="center"/>
    </xf>
    <xf numFmtId="2" fontId="34" fillId="9" borderId="1" xfId="3" applyNumberFormat="1" applyFont="1" applyFill="1" applyBorder="1" applyAlignment="1" applyProtection="1">
      <alignment horizontal="center" vertical="center"/>
    </xf>
    <xf numFmtId="170" fontId="34" fillId="9" borderId="1" xfId="0" applyNumberFormat="1" applyFont="1" applyFill="1" applyBorder="1" applyAlignment="1" applyProtection="1">
      <alignment horizontal="center" vertical="center"/>
    </xf>
    <xf numFmtId="170" fontId="4" fillId="9" borderId="1" xfId="3" applyNumberFormat="1" applyFont="1" applyFill="1" applyBorder="1" applyAlignment="1" applyProtection="1">
      <alignment horizontal="center"/>
    </xf>
    <xf numFmtId="170" fontId="4" fillId="9" borderId="1" xfId="3" applyNumberFormat="1" applyFont="1" applyFill="1" applyBorder="1" applyAlignment="1" applyProtection="1">
      <alignment horizontal="center" vertical="center"/>
    </xf>
    <xf numFmtId="170" fontId="8" fillId="9" borderId="1" xfId="3" applyNumberFormat="1" applyFont="1" applyFill="1" applyBorder="1" applyAlignment="1" applyProtection="1">
      <alignment horizontal="center" vertical="center"/>
    </xf>
    <xf numFmtId="172" fontId="34" fillId="9" borderId="1" xfId="0" applyNumberFormat="1" applyFont="1" applyFill="1" applyBorder="1" applyAlignment="1" applyProtection="1">
      <alignment horizontal="center" vertical="center"/>
    </xf>
    <xf numFmtId="172" fontId="34" fillId="9" borderId="1" xfId="3" applyNumberFormat="1" applyFont="1" applyFill="1" applyBorder="1" applyAlignment="1" applyProtection="1">
      <alignment horizontal="center" vertical="center"/>
    </xf>
    <xf numFmtId="170" fontId="34" fillId="9" borderId="6" xfId="3" applyNumberFormat="1" applyFont="1" applyFill="1" applyBorder="1" applyAlignment="1" applyProtection="1">
      <alignment horizontal="center" vertical="center"/>
    </xf>
    <xf numFmtId="2" fontId="4" fillId="9" borderId="1" xfId="3" applyNumberFormat="1" applyFont="1" applyFill="1" applyBorder="1" applyAlignment="1" applyProtection="1">
      <alignment horizontal="center"/>
    </xf>
    <xf numFmtId="2" fontId="34" fillId="9" borderId="1" xfId="0" applyNumberFormat="1" applyFont="1" applyFill="1" applyBorder="1" applyAlignment="1" applyProtection="1">
      <alignment horizontal="center" vertical="center"/>
    </xf>
    <xf numFmtId="0" fontId="0" fillId="3" borderId="17" xfId="0" applyFill="1" applyBorder="1" applyAlignment="1">
      <alignment horizontal="center" vertical="center" wrapText="1"/>
    </xf>
    <xf numFmtId="2" fontId="4" fillId="9" borderId="21" xfId="3" applyNumberFormat="1" applyFont="1" applyFill="1" applyBorder="1" applyAlignment="1" applyProtection="1">
      <alignment horizontal="center" vertical="center"/>
    </xf>
    <xf numFmtId="170" fontId="8" fillId="9" borderId="21" xfId="3" applyNumberFormat="1" applyFont="1" applyFill="1" applyBorder="1" applyAlignment="1" applyProtection="1">
      <alignment horizontal="center" vertical="center"/>
    </xf>
    <xf numFmtId="2" fontId="8" fillId="9" borderId="21" xfId="3" applyNumberFormat="1" applyFont="1" applyFill="1" applyBorder="1" applyAlignment="1" applyProtection="1">
      <alignment horizontal="center" vertical="center"/>
    </xf>
    <xf numFmtId="170" fontId="34" fillId="9" borderId="29" xfId="3" applyNumberFormat="1" applyFont="1" applyFill="1" applyBorder="1" applyAlignment="1" applyProtection="1">
      <alignment horizontal="center" vertical="center"/>
    </xf>
    <xf numFmtId="2" fontId="4" fillId="9" borderId="21" xfId="3" applyNumberFormat="1" applyFill="1" applyBorder="1" applyAlignment="1" applyProtection="1">
      <alignment horizontal="center" vertical="center"/>
    </xf>
    <xf numFmtId="2" fontId="1" fillId="9" borderId="1" xfId="3" applyNumberFormat="1" applyFont="1" applyFill="1" applyBorder="1" applyAlignment="1" applyProtection="1">
      <alignment horizontal="center" vertical="center"/>
    </xf>
    <xf numFmtId="172" fontId="4" fillId="9" borderId="1" xfId="3" applyNumberFormat="1" applyFill="1" applyBorder="1" applyAlignment="1" applyProtection="1">
      <alignment horizontal="center" vertical="center"/>
    </xf>
    <xf numFmtId="2" fontId="8" fillId="9" borderId="1" xfId="3" applyNumberFormat="1" applyFont="1" applyFill="1" applyBorder="1" applyAlignment="1" applyProtection="1">
      <alignment horizontal="center" vertical="center"/>
      <protection locked="0"/>
    </xf>
    <xf numFmtId="170" fontId="1" fillId="9" borderId="1" xfId="3" applyNumberFormat="1" applyFont="1" applyFill="1" applyBorder="1" applyAlignment="1" applyProtection="1">
      <alignment horizontal="center" vertical="center"/>
    </xf>
    <xf numFmtId="2" fontId="1" fillId="9" borderId="1" xfId="0" applyNumberFormat="1" applyFont="1" applyFill="1" applyBorder="1" applyAlignment="1" applyProtection="1">
      <alignment horizontal="center" vertical="center"/>
    </xf>
    <xf numFmtId="2" fontId="1" fillId="9" borderId="1" xfId="3" applyNumberFormat="1" applyFont="1" applyFill="1" applyBorder="1" applyAlignment="1" applyProtection="1">
      <alignment horizontal="center"/>
    </xf>
    <xf numFmtId="2" fontId="4" fillId="9" borderId="1" xfId="3" applyNumberFormat="1" applyFill="1" applyBorder="1" applyAlignment="1" applyProtection="1">
      <alignment horizontal="center" vertical="center"/>
    </xf>
    <xf numFmtId="0" fontId="0" fillId="3" borderId="62" xfId="0" applyFill="1" applyBorder="1" applyAlignment="1">
      <alignment horizontal="center" vertical="center" wrapText="1"/>
    </xf>
    <xf numFmtId="0" fontId="38" fillId="0" borderId="64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wrapText="1"/>
    </xf>
    <xf numFmtId="0" fontId="3" fillId="0" borderId="48" xfId="0" applyFont="1" applyFill="1" applyBorder="1" applyAlignment="1">
      <alignment horizontal="left" wrapText="1"/>
    </xf>
    <xf numFmtId="0" fontId="38" fillId="0" borderId="48" xfId="0" applyFont="1" applyFill="1" applyBorder="1" applyAlignment="1">
      <alignment horizontal="center" wrapText="1"/>
    </xf>
    <xf numFmtId="0" fontId="38" fillId="0" borderId="69" xfId="6" applyFont="1" applyFill="1" applyBorder="1" applyAlignment="1" applyProtection="1">
      <alignment horizontal="center" vertical="center" wrapText="1"/>
    </xf>
    <xf numFmtId="177" fontId="37" fillId="0" borderId="64" xfId="6" applyNumberFormat="1" applyFont="1" applyFill="1" applyBorder="1" applyAlignment="1" applyProtection="1">
      <alignment horizontal="center" vertical="center" wrapText="1"/>
    </xf>
    <xf numFmtId="0" fontId="38" fillId="0" borderId="15" xfId="0" applyFont="1" applyFill="1" applyBorder="1" applyAlignment="1">
      <alignment horizontal="center" vertical="center"/>
    </xf>
    <xf numFmtId="0" fontId="38" fillId="0" borderId="14" xfId="0" applyFont="1" applyFill="1" applyBorder="1" applyAlignment="1">
      <alignment horizontal="center" vertical="center"/>
    </xf>
    <xf numFmtId="0" fontId="38" fillId="0" borderId="2" xfId="6" applyFont="1" applyFill="1" applyBorder="1" applyAlignment="1" applyProtection="1">
      <alignment horizontal="center" vertical="center"/>
    </xf>
    <xf numFmtId="0" fontId="38" fillId="0" borderId="2" xfId="6" applyFont="1" applyFill="1" applyBorder="1" applyAlignment="1" applyProtection="1">
      <alignment horizontal="left" vertical="center" wrapText="1"/>
    </xf>
    <xf numFmtId="0" fontId="38" fillId="0" borderId="52" xfId="6" applyFont="1" applyFill="1" applyBorder="1" applyAlignment="1" applyProtection="1">
      <alignment horizontal="center" vertical="center"/>
    </xf>
    <xf numFmtId="177" fontId="37" fillId="0" borderId="14" xfId="0" applyNumberFormat="1" applyFont="1" applyFill="1" applyBorder="1" applyAlignment="1">
      <alignment horizontal="center" vertical="center"/>
    </xf>
    <xf numFmtId="0" fontId="38" fillId="0" borderId="42" xfId="6" applyFont="1" applyFill="1" applyBorder="1" applyAlignment="1" applyProtection="1">
      <alignment horizontal="center" vertical="center"/>
    </xf>
    <xf numFmtId="0" fontId="38" fillId="0" borderId="42" xfId="0" applyFont="1" applyFill="1" applyBorder="1" applyAlignment="1">
      <alignment horizontal="center" vertical="center" wrapText="1"/>
    </xf>
    <xf numFmtId="0" fontId="38" fillId="0" borderId="21" xfId="6" applyFont="1" applyFill="1" applyBorder="1" applyAlignment="1" applyProtection="1">
      <alignment horizontal="center" vertical="center"/>
    </xf>
    <xf numFmtId="0" fontId="38" fillId="0" borderId="71" xfId="6" applyFont="1" applyFill="1" applyBorder="1" applyAlignment="1" applyProtection="1">
      <alignment horizontal="center" vertical="center"/>
    </xf>
    <xf numFmtId="173" fontId="0" fillId="23" borderId="1" xfId="4" applyNumberFormat="1" applyFont="1" applyFill="1" applyBorder="1" applyAlignment="1" applyProtection="1">
      <alignment horizontal="center"/>
    </xf>
    <xf numFmtId="173" fontId="0" fillId="24" borderId="1" xfId="4" applyNumberFormat="1" applyFont="1" applyFill="1" applyBorder="1" applyAlignment="1" applyProtection="1">
      <alignment horizontal="center"/>
    </xf>
    <xf numFmtId="0" fontId="23" fillId="6" borderId="0" xfId="0" applyFont="1" applyFill="1" applyBorder="1" applyAlignment="1">
      <alignment vertical="center" wrapText="1"/>
    </xf>
    <xf numFmtId="0" fontId="5" fillId="3" borderId="36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 vertical="center" wrapText="1"/>
    </xf>
    <xf numFmtId="4" fontId="12" fillId="0" borderId="1" xfId="0" applyNumberFormat="1" applyFont="1" applyFill="1" applyBorder="1" applyAlignment="1">
      <alignment horizontal="center" vertical="center" wrapText="1"/>
    </xf>
    <xf numFmtId="172" fontId="13" fillId="0" borderId="1" xfId="0" applyNumberFormat="1" applyFont="1" applyFill="1" applyBorder="1" applyAlignment="1">
      <alignment horizontal="center"/>
    </xf>
    <xf numFmtId="0" fontId="5" fillId="0" borderId="0" xfId="0" applyFont="1" applyFill="1" applyAlignment="1">
      <alignment horizontal="center"/>
    </xf>
    <xf numFmtId="165" fontId="1" fillId="0" borderId="0" xfId="5" applyFill="1" applyBorder="1" applyAlignment="1">
      <alignment horizontal="center"/>
    </xf>
    <xf numFmtId="0" fontId="21" fillId="3" borderId="0" xfId="0" applyFont="1" applyFill="1" applyAlignment="1">
      <alignment horizontal="center" vertical="center"/>
    </xf>
    <xf numFmtId="0" fontId="18" fillId="3" borderId="3" xfId="0" applyFont="1" applyFill="1" applyBorder="1" applyAlignment="1">
      <alignment horizontal="center" vertical="center" wrapText="1"/>
    </xf>
    <xf numFmtId="0" fontId="18" fillId="3" borderId="0" xfId="0" applyFont="1" applyFill="1" applyBorder="1" applyAlignment="1">
      <alignment horizontal="center" vertical="center" wrapText="1"/>
    </xf>
    <xf numFmtId="0" fontId="18" fillId="3" borderId="23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7" fillId="3" borderId="13" xfId="0" applyFont="1" applyFill="1" applyBorder="1" applyAlignment="1">
      <alignment horizontal="center" vertical="center" wrapText="1"/>
    </xf>
    <xf numFmtId="0" fontId="17" fillId="3" borderId="3" xfId="0" applyFont="1" applyFill="1" applyBorder="1" applyAlignment="1">
      <alignment horizontal="center" vertical="center" wrapText="1"/>
    </xf>
    <xf numFmtId="0" fontId="17" fillId="3" borderId="0" xfId="0" applyFont="1" applyFill="1" applyAlignment="1">
      <alignment horizontal="center" vertical="center" wrapText="1"/>
    </xf>
    <xf numFmtId="0" fontId="17" fillId="3" borderId="23" xfId="0" applyFont="1" applyFill="1" applyBorder="1" applyAlignment="1">
      <alignment horizontal="center" vertical="center" wrapText="1"/>
    </xf>
    <xf numFmtId="0" fontId="18" fillId="3" borderId="11" xfId="0" applyFont="1" applyFill="1" applyBorder="1" applyAlignment="1">
      <alignment horizontal="center" vertical="center" wrapText="1"/>
    </xf>
    <xf numFmtId="0" fontId="18" fillId="3" borderId="12" xfId="0" applyFont="1" applyFill="1" applyBorder="1" applyAlignment="1">
      <alignment horizontal="center" vertical="center" wrapText="1"/>
    </xf>
    <xf numFmtId="0" fontId="18" fillId="3" borderId="13" xfId="0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" fillId="0" borderId="39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1" xfId="0" applyFont="1" applyFill="1" applyBorder="1" applyAlignment="1">
      <alignment horizontal="left" vertical="center" wrapText="1"/>
    </xf>
    <xf numFmtId="0" fontId="2" fillId="0" borderId="12" xfId="0" applyFont="1" applyFill="1" applyBorder="1" applyAlignment="1">
      <alignment horizontal="left" vertical="center" wrapText="1"/>
    </xf>
    <xf numFmtId="0" fontId="2" fillId="0" borderId="13" xfId="0" applyFont="1" applyFill="1" applyBorder="1" applyAlignment="1">
      <alignment horizontal="left" vertical="center" wrapText="1"/>
    </xf>
    <xf numFmtId="0" fontId="2" fillId="0" borderId="40" xfId="0" applyFont="1" applyFill="1" applyBorder="1" applyAlignment="1">
      <alignment horizontal="left" vertical="center" wrapText="1"/>
    </xf>
    <xf numFmtId="0" fontId="2" fillId="0" borderId="31" xfId="0" applyFont="1" applyFill="1" applyBorder="1" applyAlignment="1">
      <alignment horizontal="left" vertical="center" wrapText="1"/>
    </xf>
    <xf numFmtId="0" fontId="2" fillId="0" borderId="41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left" vertical="center" wrapText="1"/>
    </xf>
    <xf numFmtId="0" fontId="2" fillId="0" borderId="36" xfId="0" applyFont="1" applyFill="1" applyBorder="1" applyAlignment="1">
      <alignment horizontal="left" vertical="center" wrapText="1"/>
    </xf>
    <xf numFmtId="0" fontId="2" fillId="0" borderId="37" xfId="0" applyFont="1" applyFill="1" applyBorder="1" applyAlignment="1">
      <alignment horizontal="left" vertical="center" wrapText="1"/>
    </xf>
    <xf numFmtId="0" fontId="2" fillId="0" borderId="38" xfId="0" applyFont="1" applyFill="1" applyBorder="1" applyAlignment="1">
      <alignment horizontal="justify" vertical="center" wrapText="1"/>
    </xf>
    <xf numFmtId="0" fontId="2" fillId="0" borderId="36" xfId="0" applyFont="1" applyFill="1" applyBorder="1" applyAlignment="1">
      <alignment horizontal="justify" vertical="center" wrapText="1"/>
    </xf>
    <xf numFmtId="0" fontId="2" fillId="0" borderId="37" xfId="0" applyFont="1" applyFill="1" applyBorder="1" applyAlignment="1">
      <alignment horizontal="justify" vertical="center" wrapText="1"/>
    </xf>
    <xf numFmtId="0" fontId="2" fillId="3" borderId="38" xfId="0" applyFont="1" applyFill="1" applyBorder="1" applyAlignment="1">
      <alignment horizontal="justify" vertical="center" wrapText="1"/>
    </xf>
    <xf numFmtId="0" fontId="2" fillId="3" borderId="36" xfId="0" applyFont="1" applyFill="1" applyBorder="1" applyAlignment="1">
      <alignment horizontal="justify" vertical="center" wrapText="1"/>
    </xf>
    <xf numFmtId="0" fontId="2" fillId="3" borderId="37" xfId="0" applyFont="1" applyFill="1" applyBorder="1" applyAlignment="1">
      <alignment horizontal="justify" vertical="center" wrapText="1"/>
    </xf>
    <xf numFmtId="0" fontId="2" fillId="0" borderId="38" xfId="0" applyFont="1" applyFill="1" applyBorder="1" applyAlignment="1">
      <alignment horizontal="left" vertical="center"/>
    </xf>
    <xf numFmtId="0" fontId="2" fillId="0" borderId="36" xfId="0" applyFont="1" applyFill="1" applyBorder="1" applyAlignment="1">
      <alignment horizontal="left" vertical="center"/>
    </xf>
    <xf numFmtId="0" fontId="2" fillId="0" borderId="37" xfId="0" applyFont="1" applyFill="1" applyBorder="1" applyAlignment="1">
      <alignment horizontal="left" vertical="center"/>
    </xf>
    <xf numFmtId="167" fontId="29" fillId="0" borderId="0" xfId="3" applyNumberFormat="1" applyFont="1" applyFill="1" applyBorder="1" applyAlignment="1" applyProtection="1">
      <alignment horizontal="center" vertical="center"/>
    </xf>
    <xf numFmtId="4" fontId="32" fillId="0" borderId="0" xfId="0" applyNumberFormat="1" applyFont="1" applyFill="1" applyAlignment="1" applyProtection="1">
      <alignment horizontal="center" vertical="center"/>
    </xf>
    <xf numFmtId="4" fontId="32" fillId="0" borderId="31" xfId="0" applyNumberFormat="1" applyFont="1" applyFill="1" applyBorder="1" applyAlignment="1" applyProtection="1">
      <alignment horizontal="center" vertical="center"/>
    </xf>
    <xf numFmtId="0" fontId="7" fillId="10" borderId="42" xfId="0" applyFont="1" applyFill="1" applyBorder="1" applyAlignment="1" applyProtection="1">
      <alignment horizontal="center" vertical="center"/>
    </xf>
    <xf numFmtId="0" fontId="7" fillId="10" borderId="43" xfId="0" applyFont="1" applyFill="1" applyBorder="1" applyAlignment="1" applyProtection="1">
      <alignment horizontal="center" vertical="center"/>
    </xf>
    <xf numFmtId="0" fontId="7" fillId="10" borderId="17" xfId="0" applyFont="1" applyFill="1" applyBorder="1" applyAlignment="1" applyProtection="1">
      <alignment horizontal="center" vertical="center"/>
    </xf>
    <xf numFmtId="0" fontId="7" fillId="0" borderId="14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15" xfId="0" applyFont="1" applyFill="1" applyBorder="1" applyAlignment="1" applyProtection="1">
      <alignment horizontal="center" vertical="center" wrapText="1"/>
    </xf>
    <xf numFmtId="0" fontId="7" fillId="0" borderId="21" xfId="0" applyFont="1" applyFill="1" applyBorder="1" applyAlignment="1" applyProtection="1">
      <alignment horizontal="center" vertical="center" wrapText="1"/>
    </xf>
    <xf numFmtId="0" fontId="29" fillId="0" borderId="0" xfId="0" applyFont="1" applyFill="1" applyBorder="1" applyAlignment="1" applyProtection="1">
      <alignment horizontal="center" vertical="center"/>
    </xf>
    <xf numFmtId="0" fontId="7" fillId="10" borderId="1" xfId="0" applyFont="1" applyFill="1" applyBorder="1" applyAlignment="1" applyProtection="1">
      <alignment horizontal="center" vertical="center"/>
    </xf>
    <xf numFmtId="4" fontId="11" fillId="0" borderId="0" xfId="0" applyNumberFormat="1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 vertical="center" wrapText="1"/>
    </xf>
    <xf numFmtId="0" fontId="36" fillId="21" borderId="32" xfId="0" applyFont="1" applyFill="1" applyBorder="1" applyAlignment="1">
      <alignment horizontal="center"/>
    </xf>
    <xf numFmtId="0" fontId="36" fillId="21" borderId="33" xfId="0" applyFont="1" applyFill="1" applyBorder="1" applyAlignment="1">
      <alignment horizontal="center"/>
    </xf>
    <xf numFmtId="0" fontId="36" fillId="21" borderId="34" xfId="0" applyFont="1" applyFill="1" applyBorder="1" applyAlignment="1">
      <alignment horizontal="center"/>
    </xf>
    <xf numFmtId="0" fontId="2" fillId="22" borderId="39" xfId="0" applyFont="1" applyFill="1" applyBorder="1" applyAlignment="1">
      <alignment horizontal="center" vertical="center" wrapText="1"/>
    </xf>
    <xf numFmtId="0" fontId="2" fillId="22" borderId="4" xfId="0" applyFont="1" applyFill="1" applyBorder="1" applyAlignment="1">
      <alignment horizontal="center" vertical="center" wrapText="1"/>
    </xf>
    <xf numFmtId="49" fontId="24" fillId="3" borderId="0" xfId="0" applyNumberFormat="1" applyFont="1" applyFill="1" applyAlignment="1">
      <alignment horizontal="center" vertical="top" wrapText="1"/>
    </xf>
    <xf numFmtId="49" fontId="24" fillId="0" borderId="0" xfId="0" applyNumberFormat="1" applyFont="1" applyAlignment="1">
      <alignment horizontal="center" vertical="top" wrapText="1"/>
    </xf>
    <xf numFmtId="0" fontId="2" fillId="10" borderId="1" xfId="0" applyFont="1" applyFill="1" applyBorder="1" applyAlignment="1">
      <alignment horizontal="center" vertical="center"/>
    </xf>
  </cellXfs>
  <cellStyles count="8">
    <cellStyle name="Euro" xfId="1"/>
    <cellStyle name="Millares" xfId="2" builtinId="3"/>
    <cellStyle name="Millares [0]" xfId="3" builtinId="6"/>
    <cellStyle name="Moneda" xfId="4" builtinId="4"/>
    <cellStyle name="Moneda [0]" xfId="5" builtinId="7"/>
    <cellStyle name="Normal" xfId="0" builtinId="0"/>
    <cellStyle name="Normal 2" xfId="6"/>
    <cellStyle name="Porcentaje" xfId="7" builtinId="5"/>
  </cellStyles>
  <dxfs count="568">
    <dxf>
      <font>
        <b/>
        <i val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3"/>
  </sheetPr>
  <dimension ref="A1:L46"/>
  <sheetViews>
    <sheetView tabSelected="1" view="pageBreakPreview" zoomScaleSheetLayoutView="100" workbookViewId="0">
      <selection sqref="A1:G3"/>
    </sheetView>
  </sheetViews>
  <sheetFormatPr baseColWidth="10" defaultColWidth="11.42578125" defaultRowHeight="12.75" x14ac:dyDescent="0.2"/>
  <cols>
    <col min="1" max="1" width="54.28515625" style="355" customWidth="1"/>
    <col min="2" max="2" width="56.85546875" style="355" customWidth="1"/>
    <col min="3" max="3" width="69.85546875" style="355" customWidth="1"/>
    <col min="4" max="4" width="58.5703125" style="355" customWidth="1"/>
    <col min="5" max="5" width="68.5703125" style="355" customWidth="1"/>
    <col min="6" max="6" width="40.42578125" style="355" customWidth="1"/>
    <col min="7" max="7" width="39.28515625" style="355" customWidth="1"/>
    <col min="8" max="16384" width="11.42578125" style="366"/>
  </cols>
  <sheetData>
    <row r="1" spans="1:12" ht="30" customHeight="1" x14ac:dyDescent="0.2">
      <c r="A1" s="556" t="s">
        <v>2314</v>
      </c>
      <c r="B1" s="557"/>
      <c r="C1" s="557"/>
      <c r="D1" s="557"/>
      <c r="E1" s="557"/>
      <c r="F1" s="557"/>
      <c r="G1" s="558"/>
    </row>
    <row r="2" spans="1:12" ht="30" customHeight="1" x14ac:dyDescent="0.2">
      <c r="A2" s="559"/>
      <c r="B2" s="560"/>
      <c r="C2" s="560"/>
      <c r="D2" s="560"/>
      <c r="E2" s="560"/>
      <c r="F2" s="560"/>
      <c r="G2" s="561"/>
    </row>
    <row r="3" spans="1:12" ht="30" customHeight="1" thickBot="1" x14ac:dyDescent="0.25">
      <c r="A3" s="559"/>
      <c r="B3" s="560"/>
      <c r="C3" s="560"/>
      <c r="D3" s="560"/>
      <c r="E3" s="560"/>
      <c r="F3" s="560"/>
      <c r="G3" s="561"/>
    </row>
    <row r="4" spans="1:12" s="370" customFormat="1" ht="30" customHeight="1" thickBot="1" x14ac:dyDescent="0.25">
      <c r="A4" s="367" t="s">
        <v>2</v>
      </c>
      <c r="B4" s="368" t="s">
        <v>3</v>
      </c>
      <c r="C4" s="368" t="s">
        <v>4</v>
      </c>
      <c r="D4" s="368" t="s">
        <v>5</v>
      </c>
      <c r="E4" s="368" t="s">
        <v>6</v>
      </c>
      <c r="F4" s="368" t="s">
        <v>7</v>
      </c>
      <c r="G4" s="369" t="s">
        <v>8</v>
      </c>
    </row>
    <row r="5" spans="1:12" s="370" customFormat="1" ht="30" customHeight="1" thickBot="1" x14ac:dyDescent="0.25">
      <c r="A5" s="562" t="s">
        <v>42</v>
      </c>
      <c r="B5" s="563"/>
      <c r="C5" s="563"/>
      <c r="D5" s="563"/>
      <c r="E5" s="563"/>
      <c r="F5" s="563"/>
      <c r="G5" s="564"/>
    </row>
    <row r="6" spans="1:12" s="370" customFormat="1" ht="30" customHeight="1" x14ac:dyDescent="0.2">
      <c r="A6" s="463" t="s">
        <v>383</v>
      </c>
      <c r="B6" s="464" t="s">
        <v>383</v>
      </c>
      <c r="C6" s="464" t="s">
        <v>383</v>
      </c>
      <c r="D6" s="464" t="s">
        <v>383</v>
      </c>
      <c r="E6" s="464" t="s">
        <v>383</v>
      </c>
      <c r="F6" s="465" t="s">
        <v>383</v>
      </c>
      <c r="G6" s="466" t="s">
        <v>383</v>
      </c>
    </row>
    <row r="7" spans="1:12" s="370" customFormat="1" ht="30" customHeight="1" thickBot="1" x14ac:dyDescent="0.25">
      <c r="A7" s="487" t="s">
        <v>2237</v>
      </c>
      <c r="B7" s="488" t="s">
        <v>1959</v>
      </c>
      <c r="C7" s="488" t="s">
        <v>2236</v>
      </c>
      <c r="D7" s="488" t="s">
        <v>2145</v>
      </c>
      <c r="E7" s="488" t="s">
        <v>2011</v>
      </c>
      <c r="F7" s="489" t="s">
        <v>1959</v>
      </c>
      <c r="G7" s="490" t="s">
        <v>2026</v>
      </c>
    </row>
    <row r="8" spans="1:12" ht="30" customHeight="1" thickBot="1" x14ac:dyDescent="0.25">
      <c r="A8" s="553" t="s">
        <v>910</v>
      </c>
      <c r="B8" s="554"/>
      <c r="C8" s="554"/>
      <c r="D8" s="554"/>
      <c r="E8" s="554"/>
      <c r="F8" s="554"/>
      <c r="G8" s="555"/>
      <c r="H8" s="371"/>
      <c r="I8" s="355"/>
      <c r="J8" s="355"/>
    </row>
    <row r="9" spans="1:12" ht="30" customHeight="1" x14ac:dyDescent="0.2">
      <c r="A9" s="468" t="s">
        <v>2190</v>
      </c>
      <c r="B9" s="469" t="s">
        <v>2318</v>
      </c>
      <c r="C9" s="469" t="s">
        <v>2319</v>
      </c>
      <c r="D9" s="486" t="s">
        <v>923</v>
      </c>
      <c r="E9" s="481" t="s">
        <v>2190</v>
      </c>
      <c r="F9" s="481" t="s">
        <v>2335</v>
      </c>
      <c r="G9" s="497" t="s">
        <v>389</v>
      </c>
      <c r="H9" s="371"/>
      <c r="I9" s="355"/>
      <c r="J9" s="355"/>
    </row>
    <row r="10" spans="1:12" ht="30" customHeight="1" x14ac:dyDescent="0.2">
      <c r="A10" s="470" t="s">
        <v>903</v>
      </c>
      <c r="B10" s="471" t="s">
        <v>902</v>
      </c>
      <c r="C10" s="471" t="s">
        <v>902</v>
      </c>
      <c r="D10" s="473" t="s">
        <v>921</v>
      </c>
      <c r="E10" s="473" t="s">
        <v>903</v>
      </c>
      <c r="F10" s="473" t="s">
        <v>902</v>
      </c>
      <c r="G10" s="498" t="s">
        <v>903</v>
      </c>
      <c r="H10" s="371"/>
      <c r="I10" s="355"/>
      <c r="J10" s="355"/>
    </row>
    <row r="11" spans="1:12" ht="30" customHeight="1" x14ac:dyDescent="0.2">
      <c r="A11" s="470" t="s">
        <v>219</v>
      </c>
      <c r="B11" s="472" t="s">
        <v>219</v>
      </c>
      <c r="C11" s="472" t="s">
        <v>219</v>
      </c>
      <c r="D11" s="485" t="s">
        <v>219</v>
      </c>
      <c r="E11" s="485" t="s">
        <v>219</v>
      </c>
      <c r="F11" s="473" t="s">
        <v>219</v>
      </c>
      <c r="G11" s="499" t="s">
        <v>219</v>
      </c>
      <c r="H11" s="371"/>
      <c r="J11" s="355"/>
    </row>
    <row r="12" spans="1:12" ht="30" customHeight="1" x14ac:dyDescent="0.2">
      <c r="A12" s="470" t="s">
        <v>2205</v>
      </c>
      <c r="B12" s="472" t="s">
        <v>2205</v>
      </c>
      <c r="C12" s="472" t="s">
        <v>2205</v>
      </c>
      <c r="D12" s="485" t="s">
        <v>2205</v>
      </c>
      <c r="E12" s="485" t="s">
        <v>2205</v>
      </c>
      <c r="F12" s="485" t="s">
        <v>2205</v>
      </c>
      <c r="G12" s="495" t="s">
        <v>2205</v>
      </c>
      <c r="K12" s="355"/>
      <c r="L12" s="355"/>
    </row>
    <row r="13" spans="1:12" ht="90" customHeight="1" x14ac:dyDescent="0.2">
      <c r="A13" s="470" t="s">
        <v>2321</v>
      </c>
      <c r="B13" s="513" t="s">
        <v>2262</v>
      </c>
      <c r="C13" s="473" t="s">
        <v>2333</v>
      </c>
      <c r="D13" s="476" t="s">
        <v>2243</v>
      </c>
      <c r="E13" s="491" t="s">
        <v>2342</v>
      </c>
      <c r="F13" s="473" t="s">
        <v>2317</v>
      </c>
      <c r="G13" s="499" t="s">
        <v>2334</v>
      </c>
      <c r="K13" s="355"/>
      <c r="L13" s="355"/>
    </row>
    <row r="14" spans="1:12" s="373" customFormat="1" ht="30" customHeight="1" x14ac:dyDescent="0.2">
      <c r="A14" s="474" t="s">
        <v>2273</v>
      </c>
      <c r="B14" s="475" t="s">
        <v>309</v>
      </c>
      <c r="C14" s="476" t="s">
        <v>2045</v>
      </c>
      <c r="D14" s="476" t="s">
        <v>912</v>
      </c>
      <c r="E14" s="491" t="s">
        <v>2045</v>
      </c>
      <c r="F14" s="476" t="s">
        <v>913</v>
      </c>
      <c r="G14" s="492" t="s">
        <v>2038</v>
      </c>
      <c r="H14" s="372"/>
      <c r="I14" s="372"/>
      <c r="K14" s="372"/>
      <c r="L14" s="305"/>
    </row>
    <row r="15" spans="1:12" ht="30" customHeight="1" thickBot="1" x14ac:dyDescent="0.25">
      <c r="A15" s="477" t="s">
        <v>914</v>
      </c>
      <c r="B15" s="478" t="s">
        <v>914</v>
      </c>
      <c r="C15" s="479" t="s">
        <v>914</v>
      </c>
      <c r="D15" s="478" t="s">
        <v>914</v>
      </c>
      <c r="E15" s="479" t="s">
        <v>914</v>
      </c>
      <c r="F15" s="478" t="s">
        <v>914</v>
      </c>
      <c r="G15" s="493" t="s">
        <v>914</v>
      </c>
      <c r="H15" s="355"/>
      <c r="I15" s="355"/>
      <c r="K15" s="355"/>
      <c r="L15" s="305"/>
    </row>
    <row r="16" spans="1:12" ht="30" customHeight="1" thickBot="1" x14ac:dyDescent="0.25">
      <c r="A16" s="553" t="s">
        <v>911</v>
      </c>
      <c r="B16" s="554"/>
      <c r="C16" s="554"/>
      <c r="D16" s="554"/>
      <c r="E16" s="554"/>
      <c r="F16" s="554"/>
      <c r="G16" s="555"/>
      <c r="H16" s="355"/>
      <c r="I16" s="355"/>
      <c r="K16" s="355"/>
      <c r="L16" s="355"/>
    </row>
    <row r="17" spans="1:12" ht="30" customHeight="1" x14ac:dyDescent="0.2">
      <c r="A17" s="480" t="s">
        <v>390</v>
      </c>
      <c r="B17" s="481" t="s">
        <v>2320</v>
      </c>
      <c r="C17" s="481" t="s">
        <v>2294</v>
      </c>
      <c r="D17" s="481" t="s">
        <v>390</v>
      </c>
      <c r="E17" s="481" t="s">
        <v>390</v>
      </c>
      <c r="F17" s="481" t="s">
        <v>389</v>
      </c>
      <c r="G17" s="494" t="s">
        <v>390</v>
      </c>
      <c r="H17" s="355"/>
      <c r="I17" s="355"/>
      <c r="K17" s="355"/>
      <c r="L17" s="355"/>
    </row>
    <row r="18" spans="1:12" ht="30" customHeight="1" x14ac:dyDescent="0.2">
      <c r="A18" s="482" t="s">
        <v>904</v>
      </c>
      <c r="B18" s="473" t="s">
        <v>902</v>
      </c>
      <c r="C18" s="473" t="s">
        <v>903</v>
      </c>
      <c r="D18" s="473" t="s">
        <v>904</v>
      </c>
      <c r="E18" s="473" t="s">
        <v>904</v>
      </c>
      <c r="F18" s="473" t="s">
        <v>903</v>
      </c>
      <c r="G18" s="495" t="s">
        <v>904</v>
      </c>
      <c r="H18" s="355"/>
      <c r="I18" s="355"/>
      <c r="J18" s="355"/>
      <c r="K18" s="355"/>
      <c r="L18" s="355"/>
    </row>
    <row r="19" spans="1:12" ht="30" customHeight="1" x14ac:dyDescent="0.2">
      <c r="A19" s="483" t="s">
        <v>219</v>
      </c>
      <c r="B19" s="472" t="s">
        <v>219</v>
      </c>
      <c r="C19" s="485" t="s">
        <v>219</v>
      </c>
      <c r="D19" s="485" t="s">
        <v>219</v>
      </c>
      <c r="E19" s="473" t="s">
        <v>219</v>
      </c>
      <c r="F19" s="485" t="s">
        <v>219</v>
      </c>
      <c r="G19" s="495" t="s">
        <v>219</v>
      </c>
      <c r="K19" s="355"/>
      <c r="L19" s="355"/>
    </row>
    <row r="20" spans="1:12" ht="30" customHeight="1" x14ac:dyDescent="0.2">
      <c r="A20" s="483" t="s">
        <v>2205</v>
      </c>
      <c r="B20" s="471" t="s">
        <v>2205</v>
      </c>
      <c r="C20" s="485" t="s">
        <v>2205</v>
      </c>
      <c r="D20" s="485" t="s">
        <v>2205</v>
      </c>
      <c r="E20" s="485" t="s">
        <v>2205</v>
      </c>
      <c r="F20" s="473" t="s">
        <v>2205</v>
      </c>
      <c r="G20" s="495" t="s">
        <v>2205</v>
      </c>
      <c r="J20" s="355"/>
    </row>
    <row r="21" spans="1:12" ht="90" customHeight="1" x14ac:dyDescent="0.2">
      <c r="A21" s="470" t="s">
        <v>2339</v>
      </c>
      <c r="B21" s="475" t="s">
        <v>2315</v>
      </c>
      <c r="C21" s="476" t="s">
        <v>2340</v>
      </c>
      <c r="D21" s="473" t="s">
        <v>2341</v>
      </c>
      <c r="E21" s="473" t="s">
        <v>2336</v>
      </c>
      <c r="F21" s="513" t="s">
        <v>2316</v>
      </c>
      <c r="G21" s="526" t="s">
        <v>2343</v>
      </c>
      <c r="J21" s="355"/>
    </row>
    <row r="22" spans="1:12" ht="30" customHeight="1" x14ac:dyDescent="0.2">
      <c r="A22" s="474" t="s">
        <v>1997</v>
      </c>
      <c r="B22" s="475" t="s">
        <v>2038</v>
      </c>
      <c r="C22" s="476" t="s">
        <v>913</v>
      </c>
      <c r="D22" s="475" t="s">
        <v>2045</v>
      </c>
      <c r="E22" s="473" t="s">
        <v>309</v>
      </c>
      <c r="F22" s="475" t="s">
        <v>2045</v>
      </c>
      <c r="G22" s="492" t="s">
        <v>309</v>
      </c>
      <c r="J22" s="355"/>
    </row>
    <row r="23" spans="1:12" ht="30" customHeight="1" thickBot="1" x14ac:dyDescent="0.25">
      <c r="A23" s="484" t="s">
        <v>914</v>
      </c>
      <c r="B23" s="479" t="s">
        <v>914</v>
      </c>
      <c r="C23" s="478" t="s">
        <v>914</v>
      </c>
      <c r="D23" s="478" t="s">
        <v>914</v>
      </c>
      <c r="E23" s="478" t="s">
        <v>914</v>
      </c>
      <c r="F23" s="500" t="s">
        <v>914</v>
      </c>
      <c r="G23" s="496" t="s">
        <v>914</v>
      </c>
      <c r="J23" s="355"/>
    </row>
    <row r="24" spans="1:12" ht="22.5" customHeight="1" x14ac:dyDescent="0.2">
      <c r="B24" s="305"/>
      <c r="C24" s="305"/>
      <c r="E24" s="305"/>
      <c r="F24" s="305"/>
      <c r="G24" s="305"/>
    </row>
    <row r="25" spans="1:12" s="355" customFormat="1" ht="26.25" customHeight="1" x14ac:dyDescent="0.2">
      <c r="B25" s="305"/>
      <c r="C25" s="305"/>
      <c r="E25" s="441"/>
      <c r="F25" s="305"/>
      <c r="G25" s="305"/>
    </row>
    <row r="26" spans="1:12" ht="22.5" customHeight="1" x14ac:dyDescent="0.2">
      <c r="A26" s="305"/>
      <c r="B26" s="305"/>
      <c r="C26" s="305"/>
      <c r="D26" s="305"/>
      <c r="E26" s="305"/>
      <c r="F26" s="365"/>
      <c r="G26" s="305"/>
    </row>
    <row r="27" spans="1:12" ht="22.5" customHeight="1" x14ac:dyDescent="0.2">
      <c r="A27" s="360"/>
      <c r="B27" s="361"/>
      <c r="C27" s="361"/>
      <c r="D27" s="360"/>
      <c r="E27" s="361"/>
      <c r="F27" s="361"/>
      <c r="G27" s="361"/>
    </row>
    <row r="28" spans="1:12" ht="22.5" customHeight="1" x14ac:dyDescent="0.2">
      <c r="A28" s="360"/>
      <c r="B28" s="305"/>
      <c r="C28" s="361"/>
      <c r="F28" s="361"/>
      <c r="G28" s="361"/>
    </row>
    <row r="29" spans="1:12" ht="22.5" customHeight="1" x14ac:dyDescent="0.2">
      <c r="B29" s="305"/>
      <c r="C29" s="305"/>
      <c r="F29" s="305"/>
      <c r="G29" s="305"/>
    </row>
    <row r="30" spans="1:12" ht="22.5" customHeight="1" x14ac:dyDescent="0.2">
      <c r="B30" s="305"/>
      <c r="C30" s="305"/>
      <c r="E30" s="305"/>
      <c r="F30" s="305"/>
      <c r="G30" s="305"/>
    </row>
    <row r="31" spans="1:12" ht="21" customHeight="1" x14ac:dyDescent="0.2">
      <c r="H31" s="374"/>
      <c r="I31" s="357"/>
    </row>
    <row r="32" spans="1:12" ht="18" x14ac:dyDescent="0.2">
      <c r="A32" s="356"/>
      <c r="B32" s="356"/>
      <c r="C32" s="356"/>
      <c r="D32" s="356"/>
      <c r="E32" s="356"/>
      <c r="F32" s="356"/>
      <c r="G32" s="356"/>
      <c r="I32" s="357"/>
    </row>
    <row r="33" spans="1:9" ht="18" x14ac:dyDescent="0.2">
      <c r="A33" s="357" t="s">
        <v>894</v>
      </c>
      <c r="B33" s="358"/>
      <c r="C33" s="357" t="s">
        <v>1995</v>
      </c>
      <c r="D33" s="552" t="s">
        <v>2292</v>
      </c>
      <c r="E33" s="552"/>
      <c r="F33" s="552" t="s">
        <v>2290</v>
      </c>
      <c r="G33" s="552"/>
      <c r="I33" s="357"/>
    </row>
    <row r="34" spans="1:9" ht="18" x14ac:dyDescent="0.2">
      <c r="A34" s="357" t="s">
        <v>287</v>
      </c>
      <c r="B34" s="358"/>
      <c r="C34" s="357" t="s">
        <v>1996</v>
      </c>
      <c r="D34" s="552" t="s">
        <v>382</v>
      </c>
      <c r="E34" s="552"/>
      <c r="F34" s="552" t="s">
        <v>2291</v>
      </c>
      <c r="G34" s="552"/>
      <c r="I34" s="357"/>
    </row>
    <row r="35" spans="1:9" ht="18" x14ac:dyDescent="0.2">
      <c r="A35" s="357" t="s">
        <v>2289</v>
      </c>
      <c r="B35" s="358"/>
      <c r="C35" s="357" t="s">
        <v>288</v>
      </c>
      <c r="D35" s="552" t="s">
        <v>2293</v>
      </c>
      <c r="E35" s="552"/>
      <c r="F35" s="552" t="s">
        <v>2295</v>
      </c>
      <c r="G35" s="552"/>
    </row>
    <row r="36" spans="1:9" ht="18" x14ac:dyDescent="0.2">
      <c r="A36" s="357" t="s">
        <v>289</v>
      </c>
      <c r="B36" s="358"/>
      <c r="C36" s="357" t="s">
        <v>289</v>
      </c>
      <c r="D36" s="552" t="s">
        <v>2256</v>
      </c>
      <c r="E36" s="552"/>
      <c r="F36" s="552" t="s">
        <v>289</v>
      </c>
      <c r="G36" s="552"/>
    </row>
    <row r="37" spans="1:9" ht="18" x14ac:dyDescent="0.2">
      <c r="A37" s="358"/>
      <c r="B37" s="358"/>
      <c r="C37" s="358"/>
      <c r="D37" s="358"/>
      <c r="E37" s="358"/>
      <c r="F37" s="358"/>
      <c r="G37" s="358"/>
    </row>
    <row r="39" spans="1:9" ht="18" x14ac:dyDescent="0.2">
      <c r="G39" s="359"/>
    </row>
    <row r="40" spans="1:9" ht="18" x14ac:dyDescent="0.2">
      <c r="G40" s="359"/>
    </row>
    <row r="41" spans="1:9" x14ac:dyDescent="0.2">
      <c r="A41" s="375"/>
      <c r="B41" s="375"/>
      <c r="C41" s="375"/>
      <c r="D41" s="375"/>
      <c r="E41" s="366"/>
      <c r="F41" s="366"/>
      <c r="G41" s="366"/>
    </row>
    <row r="42" spans="1:9" x14ac:dyDescent="0.2">
      <c r="A42" s="375"/>
      <c r="B42" s="375"/>
      <c r="C42" s="375"/>
      <c r="D42" s="375"/>
      <c r="E42" s="366"/>
      <c r="F42" s="366"/>
      <c r="G42" s="366"/>
    </row>
    <row r="43" spans="1:9" ht="15" x14ac:dyDescent="0.2">
      <c r="A43" s="375"/>
      <c r="B43" s="376"/>
      <c r="C43" s="375"/>
      <c r="D43" s="375"/>
      <c r="E43" s="366"/>
      <c r="F43" s="366"/>
      <c r="G43" s="366"/>
    </row>
    <row r="44" spans="1:9" x14ac:dyDescent="0.2">
      <c r="A44" s="375"/>
      <c r="B44" s="375"/>
      <c r="C44" s="375"/>
      <c r="D44" s="375"/>
      <c r="E44" s="366"/>
      <c r="F44" s="366"/>
      <c r="G44" s="366"/>
    </row>
    <row r="45" spans="1:9" x14ac:dyDescent="0.2">
      <c r="A45" s="366"/>
      <c r="B45" s="366"/>
      <c r="C45" s="366"/>
      <c r="D45" s="366"/>
      <c r="E45" s="366"/>
      <c r="F45" s="366"/>
      <c r="G45" s="366"/>
    </row>
    <row r="46" spans="1:9" x14ac:dyDescent="0.2">
      <c r="A46" s="366"/>
      <c r="B46" s="366"/>
      <c r="C46" s="366"/>
      <c r="D46" s="366"/>
      <c r="E46" s="366"/>
      <c r="F46" s="366"/>
      <c r="G46" s="366"/>
    </row>
  </sheetData>
  <mergeCells count="12">
    <mergeCell ref="D36:E36"/>
    <mergeCell ref="A16:G16"/>
    <mergeCell ref="A1:G3"/>
    <mergeCell ref="A5:G5"/>
    <mergeCell ref="A8:G8"/>
    <mergeCell ref="F33:G33"/>
    <mergeCell ref="F34:G34"/>
    <mergeCell ref="F35:G35"/>
    <mergeCell ref="F36:G36"/>
    <mergeCell ref="D33:E33"/>
    <mergeCell ref="D34:E34"/>
    <mergeCell ref="D35:E35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41" scale="42" firstPageNumber="0" orientation="landscape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8"/>
  </sheetPr>
  <dimension ref="A1:G26"/>
  <sheetViews>
    <sheetView showGridLines="0" zoomScale="70" zoomScaleNormal="70" zoomScaleSheetLayoutView="80" workbookViewId="0">
      <selection sqref="A1:G1"/>
    </sheetView>
  </sheetViews>
  <sheetFormatPr baseColWidth="10" defaultRowHeight="12.75" x14ac:dyDescent="0.2"/>
  <cols>
    <col min="1" max="1" width="12.28515625" customWidth="1"/>
    <col min="2" max="2" width="30.85546875" customWidth="1"/>
    <col min="3" max="3" width="40.5703125" customWidth="1"/>
    <col min="4" max="4" width="28.5703125" customWidth="1"/>
    <col min="5" max="5" width="42.7109375" customWidth="1"/>
    <col min="6" max="6" width="29.85546875" customWidth="1"/>
    <col min="7" max="7" width="103" customWidth="1"/>
  </cols>
  <sheetData>
    <row r="1" spans="1:7" ht="23.25" x14ac:dyDescent="0.2">
      <c r="A1" s="565" t="s">
        <v>290</v>
      </c>
      <c r="B1" s="565"/>
      <c r="C1" s="565"/>
      <c r="D1" s="565"/>
      <c r="E1" s="565"/>
      <c r="F1" s="565"/>
      <c r="G1" s="565"/>
    </row>
    <row r="2" spans="1:7" ht="13.5" thickBot="1" x14ac:dyDescent="0.25"/>
    <row r="3" spans="1:7" ht="20.25" customHeight="1" x14ac:dyDescent="0.2">
      <c r="A3" s="566" t="s">
        <v>101</v>
      </c>
      <c r="B3" s="568" t="s">
        <v>2257</v>
      </c>
      <c r="C3" s="569"/>
      <c r="D3" s="569"/>
      <c r="E3" s="569"/>
      <c r="F3" s="569"/>
      <c r="G3" s="570"/>
    </row>
    <row r="4" spans="1:7" ht="27" customHeight="1" thickBot="1" x14ac:dyDescent="0.25">
      <c r="A4" s="567"/>
      <c r="B4" s="571" t="s">
        <v>209</v>
      </c>
      <c r="C4" s="572"/>
      <c r="D4" s="572"/>
      <c r="E4" s="572"/>
      <c r="F4" s="572"/>
      <c r="G4" s="573"/>
    </row>
    <row r="5" spans="1:7" ht="36.75" customHeight="1" thickBot="1" x14ac:dyDescent="0.25">
      <c r="A5" s="48" t="s">
        <v>102</v>
      </c>
      <c r="B5" s="577" t="s">
        <v>920</v>
      </c>
      <c r="C5" s="578"/>
      <c r="D5" s="578"/>
      <c r="E5" s="578"/>
      <c r="F5" s="578"/>
      <c r="G5" s="579"/>
    </row>
    <row r="6" spans="1:7" ht="37.5" customHeight="1" thickBot="1" x14ac:dyDescent="0.25">
      <c r="A6" s="48" t="s">
        <v>106</v>
      </c>
      <c r="B6" s="574" t="s">
        <v>285</v>
      </c>
      <c r="C6" s="575"/>
      <c r="D6" s="575"/>
      <c r="E6" s="575"/>
      <c r="F6" s="575"/>
      <c r="G6" s="576"/>
    </row>
    <row r="7" spans="1:7" ht="37.5" customHeight="1" thickBot="1" x14ac:dyDescent="0.25">
      <c r="A7" s="48" t="s">
        <v>115</v>
      </c>
      <c r="B7" s="574" t="s">
        <v>291</v>
      </c>
      <c r="C7" s="575"/>
      <c r="D7" s="575"/>
      <c r="E7" s="575"/>
      <c r="F7" s="575"/>
      <c r="G7" s="576"/>
    </row>
    <row r="8" spans="1:7" ht="37.5" customHeight="1" thickBot="1" x14ac:dyDescent="0.25">
      <c r="A8" s="48" t="s">
        <v>122</v>
      </c>
      <c r="B8" s="574" t="s">
        <v>116</v>
      </c>
      <c r="C8" s="575"/>
      <c r="D8" s="575"/>
      <c r="E8" s="575"/>
      <c r="F8" s="575"/>
      <c r="G8" s="576"/>
    </row>
    <row r="9" spans="1:7" ht="36.75" customHeight="1" thickBot="1" x14ac:dyDescent="0.25">
      <c r="A9" s="48" t="s">
        <v>125</v>
      </c>
      <c r="B9" s="574" t="s">
        <v>267</v>
      </c>
      <c r="C9" s="575"/>
      <c r="D9" s="575"/>
      <c r="E9" s="575"/>
      <c r="F9" s="575"/>
      <c r="G9" s="576"/>
    </row>
    <row r="10" spans="1:7" ht="37.5" customHeight="1" thickBot="1" x14ac:dyDescent="0.25">
      <c r="A10" s="48" t="s">
        <v>126</v>
      </c>
      <c r="B10" s="574" t="s">
        <v>210</v>
      </c>
      <c r="C10" s="575"/>
      <c r="D10" s="575"/>
      <c r="E10" s="575"/>
      <c r="F10" s="575"/>
      <c r="G10" s="576"/>
    </row>
    <row r="11" spans="1:7" ht="38.25" customHeight="1" thickBot="1" x14ac:dyDescent="0.25">
      <c r="A11" s="48" t="s">
        <v>140</v>
      </c>
      <c r="B11" s="574" t="s">
        <v>268</v>
      </c>
      <c r="C11" s="575"/>
      <c r="D11" s="575"/>
      <c r="E11" s="575"/>
      <c r="F11" s="575"/>
      <c r="G11" s="576"/>
    </row>
    <row r="12" spans="1:7" ht="39.75" customHeight="1" thickBot="1" x14ac:dyDescent="0.25">
      <c r="A12" s="48" t="s">
        <v>141</v>
      </c>
      <c r="B12" s="574" t="s">
        <v>362</v>
      </c>
      <c r="C12" s="575"/>
      <c r="D12" s="575"/>
      <c r="E12" s="575"/>
      <c r="F12" s="575"/>
      <c r="G12" s="576"/>
    </row>
    <row r="13" spans="1:7" ht="37.5" customHeight="1" thickBot="1" x14ac:dyDescent="0.25">
      <c r="A13" s="48" t="s">
        <v>142</v>
      </c>
      <c r="B13" s="574" t="s">
        <v>211</v>
      </c>
      <c r="C13" s="575"/>
      <c r="D13" s="575"/>
      <c r="E13" s="575"/>
      <c r="F13" s="575"/>
      <c r="G13" s="576"/>
    </row>
    <row r="14" spans="1:7" ht="37.5" customHeight="1" thickBot="1" x14ac:dyDescent="0.25">
      <c r="A14" s="48" t="s">
        <v>143</v>
      </c>
      <c r="B14" s="577" t="s">
        <v>212</v>
      </c>
      <c r="C14" s="578"/>
      <c r="D14" s="578"/>
      <c r="E14" s="578"/>
      <c r="F14" s="578"/>
      <c r="G14" s="579"/>
    </row>
    <row r="15" spans="1:7" ht="37.5" customHeight="1" thickBot="1" x14ac:dyDescent="0.25">
      <c r="A15" s="48" t="s">
        <v>144</v>
      </c>
      <c r="B15" s="577" t="s">
        <v>213</v>
      </c>
      <c r="C15" s="578"/>
      <c r="D15" s="578"/>
      <c r="E15" s="578"/>
      <c r="F15" s="578"/>
      <c r="G15" s="579"/>
    </row>
    <row r="16" spans="1:7" ht="36.75" customHeight="1" thickBot="1" x14ac:dyDescent="0.25">
      <c r="A16" s="48" t="s">
        <v>145</v>
      </c>
      <c r="B16" s="577" t="s">
        <v>284</v>
      </c>
      <c r="C16" s="578"/>
      <c r="D16" s="578"/>
      <c r="E16" s="578"/>
      <c r="F16" s="578"/>
      <c r="G16" s="579"/>
    </row>
    <row r="17" spans="1:7" ht="37.5" customHeight="1" thickBot="1" x14ac:dyDescent="0.25">
      <c r="A17" s="48" t="s">
        <v>178</v>
      </c>
      <c r="B17" s="577" t="s">
        <v>214</v>
      </c>
      <c r="C17" s="578"/>
      <c r="D17" s="578"/>
      <c r="E17" s="578"/>
      <c r="F17" s="578"/>
      <c r="G17" s="579"/>
    </row>
    <row r="18" spans="1:7" ht="37.5" customHeight="1" thickBot="1" x14ac:dyDescent="0.25">
      <c r="A18" s="49" t="s">
        <v>180</v>
      </c>
      <c r="B18" s="583" t="s">
        <v>275</v>
      </c>
      <c r="C18" s="584"/>
      <c r="D18" s="584"/>
      <c r="E18" s="584"/>
      <c r="F18" s="584"/>
      <c r="G18" s="585"/>
    </row>
    <row r="19" spans="1:7" ht="43.5" customHeight="1" thickBot="1" x14ac:dyDescent="0.25">
      <c r="A19" s="54" t="s">
        <v>370</v>
      </c>
      <c r="B19" s="580" t="s">
        <v>371</v>
      </c>
      <c r="C19" s="581"/>
      <c r="D19" s="581"/>
      <c r="E19" s="581"/>
      <c r="F19" s="581"/>
      <c r="G19" s="582"/>
    </row>
    <row r="20" spans="1:7" ht="39" customHeight="1" thickBot="1" x14ac:dyDescent="0.25">
      <c r="A20" s="289" t="s">
        <v>915</v>
      </c>
      <c r="B20" s="580" t="s">
        <v>916</v>
      </c>
      <c r="C20" s="581"/>
      <c r="D20" s="581"/>
      <c r="E20" s="581"/>
      <c r="F20" s="581"/>
      <c r="G20" s="582"/>
    </row>
    <row r="26" spans="1:7" ht="11.25" customHeight="1" x14ac:dyDescent="0.2"/>
  </sheetData>
  <mergeCells count="20">
    <mergeCell ref="B16:G16"/>
    <mergeCell ref="B17:G17"/>
    <mergeCell ref="B12:G12"/>
    <mergeCell ref="B10:G10"/>
    <mergeCell ref="B20:G20"/>
    <mergeCell ref="B15:G15"/>
    <mergeCell ref="B13:G13"/>
    <mergeCell ref="B14:G14"/>
    <mergeCell ref="B19:G19"/>
    <mergeCell ref="B18:G18"/>
    <mergeCell ref="A1:G1"/>
    <mergeCell ref="A3:A4"/>
    <mergeCell ref="B3:G3"/>
    <mergeCell ref="B4:G4"/>
    <mergeCell ref="B11:G11"/>
    <mergeCell ref="B8:G8"/>
    <mergeCell ref="B9:G9"/>
    <mergeCell ref="B5:G5"/>
    <mergeCell ref="B6:G6"/>
    <mergeCell ref="B7:G7"/>
  </mergeCells>
  <phoneticPr fontId="3" type="noConversion"/>
  <pageMargins left="0.78740157480314965" right="0.78740157480314965" top="0.98425196850393704" bottom="0.98425196850393704" header="0" footer="0"/>
  <pageSetup paperSize="5" scale="5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76"/>
  <sheetViews>
    <sheetView showGridLines="0" topLeftCell="A7" zoomScale="80" zoomScaleNormal="80" zoomScaleSheetLayoutView="90" workbookViewId="0">
      <selection sqref="A1:N1"/>
    </sheetView>
  </sheetViews>
  <sheetFormatPr baseColWidth="10" defaultColWidth="11.42578125" defaultRowHeight="12.75" x14ac:dyDescent="0.2"/>
  <cols>
    <col min="1" max="1" width="41" style="37" customWidth="1"/>
    <col min="2" max="2" width="14.7109375" style="37" customWidth="1"/>
    <col min="3" max="3" width="18.7109375" style="37" customWidth="1"/>
    <col min="4" max="5" width="14.7109375" style="152" customWidth="1"/>
    <col min="6" max="6" width="14.7109375" style="153" customWidth="1"/>
    <col min="7" max="11" width="14.7109375" style="39" customWidth="1"/>
    <col min="12" max="14" width="14.7109375" style="17" customWidth="1"/>
    <col min="15" max="15" width="6.7109375" style="17" bestFit="1" customWidth="1"/>
    <col min="16" max="16" width="13.42578125" style="17" customWidth="1"/>
    <col min="17" max="17" width="24.28515625" style="17" customWidth="1"/>
    <col min="18" max="18" width="11.42578125" style="17"/>
    <col min="19" max="19" width="12.140625" style="17" bestFit="1" customWidth="1"/>
    <col min="20" max="20" width="13.7109375" style="17" customWidth="1"/>
    <col min="21" max="21" width="13.28515625" style="17" customWidth="1"/>
    <col min="22" max="22" width="13.7109375" style="17" customWidth="1"/>
    <col min="23" max="23" width="12.42578125" style="17" customWidth="1"/>
    <col min="24" max="117" width="11.42578125" style="17"/>
    <col min="118" max="16384" width="11.42578125" style="37"/>
  </cols>
  <sheetData>
    <row r="1" spans="1:155" s="32" customFormat="1" ht="20.25" customHeight="1" thickBot="1" x14ac:dyDescent="0.25">
      <c r="A1" s="586" t="s">
        <v>2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157"/>
      <c r="DN1" s="43"/>
      <c r="DO1" s="43"/>
      <c r="DP1" s="43"/>
      <c r="DQ1" s="43"/>
      <c r="DR1" s="43"/>
      <c r="DS1" s="43"/>
      <c r="DT1" s="43"/>
      <c r="DU1" s="43"/>
      <c r="DV1" s="43"/>
      <c r="DW1" s="43"/>
      <c r="DX1" s="43"/>
      <c r="DY1" s="43"/>
      <c r="DZ1" s="43"/>
      <c r="EA1" s="43"/>
      <c r="EB1" s="43"/>
      <c r="EC1" s="43"/>
      <c r="ED1" s="43"/>
      <c r="EE1" s="43"/>
      <c r="EF1" s="43"/>
      <c r="EG1" s="43"/>
      <c r="EH1" s="43"/>
      <c r="EI1" s="43"/>
      <c r="EJ1" s="43"/>
      <c r="EK1" s="43"/>
      <c r="EL1" s="43"/>
      <c r="EM1" s="43"/>
      <c r="EN1" s="43"/>
      <c r="EO1" s="43"/>
      <c r="EP1" s="43"/>
      <c r="EQ1" s="43"/>
      <c r="ER1" s="43"/>
      <c r="ES1" s="43"/>
      <c r="ET1" s="43"/>
      <c r="EU1" s="43"/>
      <c r="EV1" s="43"/>
      <c r="EW1" s="43"/>
      <c r="EX1" s="43"/>
      <c r="EY1" s="43"/>
    </row>
    <row r="2" spans="1:155" s="17" customFormat="1" ht="45.75" customHeight="1" x14ac:dyDescent="0.2">
      <c r="A2" s="55" t="s">
        <v>42</v>
      </c>
      <c r="B2" s="284" t="str">
        <f>'MENU COMÚN'!A6</f>
        <v>LECHE-TÉ- CAFÉ</v>
      </c>
      <c r="C2" s="285"/>
      <c r="D2" s="286" t="str">
        <f>'MENU COMÚN'!A7</f>
        <v>PAN (100 GR) C/MERMELADA DE FRUTILLA</v>
      </c>
      <c r="E2" s="286"/>
      <c r="F2" s="127"/>
      <c r="G2" s="592" t="s">
        <v>386</v>
      </c>
      <c r="H2" s="593"/>
      <c r="I2" s="218">
        <v>200</v>
      </c>
      <c r="K2" s="22"/>
      <c r="DN2" s="37"/>
      <c r="DO2" s="37"/>
      <c r="DP2" s="37"/>
      <c r="DQ2" s="37"/>
      <c r="DR2" s="37"/>
      <c r="DS2" s="37"/>
      <c r="DT2" s="37"/>
      <c r="DU2" s="37"/>
      <c r="DV2" s="37"/>
      <c r="DW2" s="37"/>
      <c r="DX2" s="37"/>
      <c r="DY2" s="37"/>
      <c r="DZ2" s="37"/>
      <c r="EA2" s="37"/>
      <c r="EB2" s="37"/>
      <c r="EC2" s="37"/>
      <c r="ED2" s="37"/>
      <c r="EE2" s="37"/>
      <c r="EF2" s="37"/>
      <c r="EG2" s="37"/>
      <c r="EH2" s="37"/>
      <c r="EI2" s="37"/>
      <c r="EJ2" s="37"/>
      <c r="EK2" s="37"/>
      <c r="EL2" s="37"/>
      <c r="EM2" s="37"/>
      <c r="EN2" s="37"/>
      <c r="EO2" s="37"/>
      <c r="EP2" s="37"/>
      <c r="EQ2" s="37"/>
      <c r="ER2" s="37"/>
      <c r="ES2" s="37"/>
      <c r="ET2" s="37"/>
      <c r="EU2" s="37"/>
      <c r="EV2" s="37"/>
      <c r="EW2" s="37"/>
      <c r="EX2" s="37"/>
      <c r="EY2" s="37"/>
    </row>
    <row r="3" spans="1:155" s="17" customFormat="1" ht="13.5" customHeight="1" thickBot="1" x14ac:dyDescent="0.25">
      <c r="A3" s="55" t="s">
        <v>21</v>
      </c>
      <c r="B3" s="37" t="str">
        <f>'MENU COMÚN'!A9</f>
        <v>SOPA DE AVE NATURAL</v>
      </c>
      <c r="C3" s="37"/>
      <c r="D3" s="154"/>
      <c r="E3" s="154"/>
      <c r="F3" s="153"/>
      <c r="G3" s="594" t="s">
        <v>134</v>
      </c>
      <c r="H3" s="595"/>
      <c r="I3" s="219">
        <v>80</v>
      </c>
      <c r="K3" s="22"/>
      <c r="DN3" s="37"/>
      <c r="DO3" s="37"/>
      <c r="DP3" s="37"/>
      <c r="DQ3" s="37"/>
      <c r="DR3" s="37"/>
      <c r="DS3" s="37"/>
      <c r="DT3" s="37"/>
      <c r="DU3" s="37"/>
      <c r="DV3" s="37"/>
      <c r="DW3" s="37"/>
      <c r="DX3" s="37"/>
      <c r="DY3" s="37"/>
      <c r="DZ3" s="37"/>
      <c r="EA3" s="37"/>
      <c r="EB3" s="37"/>
      <c r="EC3" s="37"/>
      <c r="ED3" s="37"/>
      <c r="EE3" s="37"/>
      <c r="EF3" s="37"/>
      <c r="EG3" s="37"/>
      <c r="EH3" s="37"/>
      <c r="EI3" s="37"/>
      <c r="EJ3" s="37"/>
      <c r="EK3" s="37"/>
      <c r="EL3" s="37"/>
      <c r="EM3" s="37"/>
      <c r="EN3" s="37"/>
      <c r="EO3" s="37"/>
      <c r="EP3" s="37"/>
      <c r="EQ3" s="37"/>
      <c r="ER3" s="37"/>
      <c r="ES3" s="37"/>
      <c r="ET3" s="37"/>
      <c r="EU3" s="37"/>
      <c r="EV3" s="37"/>
      <c r="EW3" s="37"/>
      <c r="EX3" s="37"/>
      <c r="EY3" s="37"/>
    </row>
    <row r="4" spans="1:155" s="17" customFormat="1" ht="13.5" customHeight="1" x14ac:dyDescent="0.2">
      <c r="A4" s="55"/>
      <c r="B4" s="267" t="str">
        <f>'MENU COMÚN'!A13</f>
        <v>ARROZ FRICASSÉ                                                                                                                                                               (MOLIDA,VIENESAS)</v>
      </c>
      <c r="C4" s="267"/>
      <c r="D4" s="269"/>
      <c r="E4" s="154"/>
      <c r="F4" s="153"/>
      <c r="G4" s="56"/>
      <c r="H4" s="26"/>
      <c r="I4" s="26"/>
      <c r="J4" s="57"/>
      <c r="K4" s="22"/>
      <c r="DN4" s="37"/>
      <c r="DO4" s="37"/>
      <c r="DP4" s="37"/>
      <c r="DQ4" s="37"/>
      <c r="DR4" s="37"/>
      <c r="DS4" s="37"/>
      <c r="DT4" s="37"/>
      <c r="DU4" s="37"/>
      <c r="DV4" s="37"/>
      <c r="DW4" s="37"/>
      <c r="DX4" s="37"/>
      <c r="DY4" s="37"/>
      <c r="DZ4" s="37"/>
      <c r="EA4" s="37"/>
      <c r="EB4" s="37"/>
      <c r="EC4" s="37"/>
      <c r="ED4" s="37"/>
      <c r="EE4" s="37"/>
      <c r="EF4" s="37"/>
      <c r="EG4" s="37"/>
      <c r="EH4" s="37"/>
      <c r="EI4" s="37"/>
      <c r="EJ4" s="37"/>
      <c r="EK4" s="37"/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7"/>
      <c r="EW4" s="37"/>
      <c r="EX4" s="37"/>
      <c r="EY4" s="37"/>
    </row>
    <row r="5" spans="1:155" s="17" customFormat="1" ht="13.5" customHeight="1" x14ac:dyDescent="0.2">
      <c r="A5" s="58"/>
      <c r="B5" s="267" t="str">
        <f>'MENU COMÚN'!A14</f>
        <v>FRUTA ENTERA NATURAL</v>
      </c>
      <c r="C5" s="37"/>
      <c r="D5" s="152"/>
      <c r="E5" s="152"/>
      <c r="F5" s="153"/>
      <c r="G5" s="39"/>
      <c r="H5" s="39"/>
      <c r="I5" s="39"/>
      <c r="J5" s="22"/>
      <c r="K5" s="22"/>
      <c r="R5" s="189"/>
      <c r="DN5" s="37"/>
      <c r="DO5" s="37"/>
      <c r="DP5" s="37"/>
      <c r="DQ5" s="37"/>
      <c r="DR5" s="37"/>
      <c r="DS5" s="37"/>
      <c r="DT5" s="37"/>
      <c r="DU5" s="37"/>
      <c r="DV5" s="37"/>
      <c r="DW5" s="37"/>
      <c r="DX5" s="37"/>
      <c r="DY5" s="37"/>
      <c r="DZ5" s="37"/>
      <c r="EA5" s="37"/>
      <c r="EB5" s="37"/>
      <c r="EC5" s="37"/>
      <c r="ED5" s="37"/>
      <c r="EE5" s="37"/>
      <c r="EF5" s="37"/>
      <c r="EG5" s="37"/>
      <c r="EH5" s="37"/>
      <c r="EI5" s="37"/>
      <c r="EJ5" s="37"/>
      <c r="EK5" s="37"/>
      <c r="EL5" s="37"/>
      <c r="EM5" s="37"/>
      <c r="EN5" s="37"/>
      <c r="EO5" s="37"/>
      <c r="EP5" s="37"/>
      <c r="EQ5" s="37"/>
      <c r="ER5" s="37"/>
      <c r="ES5" s="37"/>
      <c r="ET5" s="37"/>
      <c r="EU5" s="37"/>
      <c r="EV5" s="37"/>
      <c r="EW5" s="37"/>
      <c r="EX5" s="37"/>
      <c r="EY5" s="37"/>
    </row>
    <row r="6" spans="1:155" s="17" customFormat="1" ht="13.5" customHeight="1" x14ac:dyDescent="0.2">
      <c r="A6" s="58"/>
      <c r="B6" s="37"/>
      <c r="C6" s="37"/>
      <c r="D6" s="152"/>
      <c r="E6" s="152"/>
      <c r="F6" s="153"/>
      <c r="G6" s="39"/>
      <c r="H6" s="113"/>
      <c r="I6" s="113"/>
      <c r="J6" s="22"/>
      <c r="K6" s="22"/>
      <c r="Q6" s="169" t="s">
        <v>893</v>
      </c>
      <c r="R6" s="188"/>
      <c r="DN6" s="37"/>
      <c r="DO6" s="37"/>
      <c r="DP6" s="37"/>
      <c r="DQ6" s="37"/>
      <c r="DR6" s="37"/>
      <c r="DS6" s="37"/>
      <c r="DT6" s="37"/>
      <c r="DU6" s="37"/>
      <c r="DV6" s="37"/>
      <c r="DW6" s="37"/>
      <c r="DX6" s="37"/>
      <c r="DY6" s="37"/>
      <c r="DZ6" s="37"/>
      <c r="EA6" s="37"/>
      <c r="EB6" s="37"/>
      <c r="EC6" s="37"/>
      <c r="ED6" s="37"/>
      <c r="EE6" s="37"/>
      <c r="EF6" s="37"/>
      <c r="EG6" s="37"/>
      <c r="EH6" s="37"/>
      <c r="EI6" s="37"/>
      <c r="EJ6" s="37"/>
      <c r="EK6" s="37"/>
      <c r="EL6" s="37"/>
      <c r="EM6" s="37"/>
      <c r="EN6" s="37"/>
      <c r="EO6" s="37"/>
      <c r="EP6" s="37"/>
      <c r="EQ6" s="37"/>
      <c r="ER6" s="37"/>
      <c r="ES6" s="37"/>
      <c r="ET6" s="37"/>
      <c r="EU6" s="37"/>
      <c r="EV6" s="37"/>
      <c r="EW6" s="37"/>
      <c r="EX6" s="37"/>
      <c r="EY6" s="37"/>
    </row>
    <row r="7" spans="1:155" s="17" customFormat="1" ht="25.5" x14ac:dyDescent="0.2">
      <c r="A7" s="55" t="s">
        <v>23</v>
      </c>
      <c r="B7" s="37" t="str">
        <f>'MENU COMÚN'!A17</f>
        <v>CREMA DESHIDRATADA</v>
      </c>
      <c r="C7" s="37"/>
      <c r="D7" s="255"/>
      <c r="E7" s="205"/>
      <c r="F7" s="153"/>
      <c r="G7" s="587"/>
      <c r="H7" s="39"/>
      <c r="I7" s="39"/>
      <c r="J7" s="22"/>
      <c r="K7" s="22"/>
      <c r="Q7" s="199">
        <v>0</v>
      </c>
      <c r="R7" s="168" t="s">
        <v>127</v>
      </c>
      <c r="S7" s="168" t="s">
        <v>128</v>
      </c>
      <c r="T7" s="169" t="s">
        <v>129</v>
      </c>
      <c r="U7" s="168" t="s">
        <v>130</v>
      </c>
      <c r="V7" s="168" t="s">
        <v>131</v>
      </c>
      <c r="W7" s="168" t="s">
        <v>132</v>
      </c>
      <c r="X7" s="168" t="s">
        <v>133</v>
      </c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</row>
    <row r="8" spans="1:155" s="17" customFormat="1" ht="13.5" customHeight="1" x14ac:dyDescent="0.2">
      <c r="A8" s="55"/>
      <c r="B8" s="267" t="str">
        <f>'MENU COMÚN'!A21</f>
        <v>RAGOUT DE CERDO                                                                                                                                                                       CON ESPIRALES</v>
      </c>
      <c r="C8" s="37"/>
      <c r="D8" s="37"/>
      <c r="E8" s="37"/>
      <c r="F8" s="37"/>
      <c r="G8" s="587"/>
      <c r="H8" s="39"/>
      <c r="I8" s="113"/>
      <c r="J8" s="22"/>
      <c r="K8" s="22"/>
      <c r="P8" s="197">
        <v>2065</v>
      </c>
      <c r="Q8" s="162" t="s">
        <v>388</v>
      </c>
      <c r="R8" s="158">
        <f>I40</f>
        <v>1209.7929047619048</v>
      </c>
      <c r="S8" s="158">
        <f>+$P$8+($P$8*$Q$7)</f>
        <v>2065</v>
      </c>
      <c r="T8" s="159">
        <f>+$I$2-$I$3</f>
        <v>120</v>
      </c>
      <c r="U8" s="158">
        <f>$R$8*$T$8</f>
        <v>145175.14857142858</v>
      </c>
      <c r="V8" s="158">
        <f>$S$8*$T$8</f>
        <v>247800</v>
      </c>
      <c r="W8" s="158">
        <f>$V$8-$U$8</f>
        <v>102624.85142857142</v>
      </c>
      <c r="X8" s="160">
        <f>$W$8/$V$8</f>
        <v>0.41414387178600248</v>
      </c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/>
      <c r="EA8" s="37"/>
      <c r="EB8" s="37"/>
      <c r="EC8" s="37"/>
      <c r="ED8" s="37"/>
      <c r="EE8" s="37"/>
      <c r="EF8" s="37"/>
      <c r="EG8" s="37"/>
      <c r="EH8" s="37"/>
      <c r="EI8" s="37"/>
      <c r="EJ8" s="37"/>
      <c r="EK8" s="37"/>
      <c r="EL8" s="37"/>
      <c r="EM8" s="37"/>
      <c r="EN8" s="37"/>
      <c r="EO8" s="37"/>
      <c r="EP8" s="37"/>
      <c r="EQ8" s="37"/>
      <c r="ER8" s="37"/>
      <c r="ES8" s="37"/>
      <c r="ET8" s="37"/>
      <c r="EU8" s="37"/>
      <c r="EV8" s="37"/>
      <c r="EW8" s="37"/>
      <c r="EX8" s="37"/>
      <c r="EY8" s="37"/>
    </row>
    <row r="9" spans="1:155" s="17" customFormat="1" ht="13.5" customHeight="1" thickBot="1" x14ac:dyDescent="0.25">
      <c r="A9" s="55"/>
      <c r="B9" s="267" t="str">
        <f>'MENU COMÚN'!A22</f>
        <v>JALEA IMPERIAL</v>
      </c>
      <c r="C9" s="37"/>
      <c r="D9" s="256"/>
      <c r="E9" s="209"/>
      <c r="F9" s="153"/>
      <c r="G9" s="588"/>
      <c r="H9" s="39"/>
      <c r="I9" s="39"/>
      <c r="J9" s="22"/>
      <c r="K9" s="22"/>
      <c r="P9" s="197">
        <v>2429</v>
      </c>
      <c r="Q9" s="162" t="s">
        <v>134</v>
      </c>
      <c r="R9" s="166">
        <f>I18+I40+I59</f>
        <v>2938.2830714285719</v>
      </c>
      <c r="S9" s="158">
        <f>+$P$9+($P$9*$Q$7)</f>
        <v>2429</v>
      </c>
      <c r="T9" s="167">
        <f>+$I$3</f>
        <v>80</v>
      </c>
      <c r="U9" s="158">
        <f>$R$9*$T$9</f>
        <v>235062.64571428575</v>
      </c>
      <c r="V9" s="158">
        <f>$S$9*$T$9</f>
        <v>194320</v>
      </c>
      <c r="W9" s="161">
        <f>$V$9-$U$9</f>
        <v>-40742.645714285754</v>
      </c>
      <c r="X9" s="160">
        <f>$W$9/$V$9</f>
        <v>-0.20966779391872042</v>
      </c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/>
      <c r="EA9" s="37"/>
      <c r="EB9" s="37"/>
      <c r="EC9" s="37"/>
      <c r="ED9" s="37"/>
      <c r="EE9" s="37"/>
      <c r="EF9" s="37"/>
      <c r="EG9" s="37"/>
      <c r="EH9" s="37"/>
      <c r="EI9" s="37"/>
      <c r="EJ9" s="37"/>
      <c r="EK9" s="37"/>
      <c r="EL9" s="37"/>
      <c r="EM9" s="37"/>
      <c r="EN9" s="37"/>
      <c r="EO9" s="37"/>
      <c r="EP9" s="37"/>
      <c r="EQ9" s="37"/>
      <c r="ER9" s="37"/>
      <c r="ES9" s="37"/>
      <c r="ET9" s="37"/>
      <c r="EU9" s="37"/>
      <c r="EV9" s="37"/>
      <c r="EW9" s="37"/>
      <c r="EX9" s="37"/>
      <c r="EY9" s="37"/>
    </row>
    <row r="10" spans="1:155" s="17" customFormat="1" ht="26.25" thickBot="1" x14ac:dyDescent="0.25">
      <c r="A10" s="99" t="s">
        <v>17</v>
      </c>
      <c r="B10" s="246" t="s">
        <v>94</v>
      </c>
      <c r="C10" s="247" t="s">
        <v>18</v>
      </c>
      <c r="D10" s="247" t="s">
        <v>103</v>
      </c>
      <c r="E10" s="247" t="s">
        <v>895</v>
      </c>
      <c r="F10" s="247" t="s">
        <v>891</v>
      </c>
      <c r="G10" s="247" t="s">
        <v>91</v>
      </c>
      <c r="H10" s="247" t="s">
        <v>19</v>
      </c>
      <c r="I10" s="247" t="s">
        <v>45</v>
      </c>
      <c r="J10" s="102" t="s">
        <v>20</v>
      </c>
      <c r="K10" s="102" t="s">
        <v>43</v>
      </c>
      <c r="L10" s="103" t="s">
        <v>44</v>
      </c>
      <c r="M10" s="104" t="s">
        <v>207</v>
      </c>
      <c r="N10" s="105" t="s">
        <v>208</v>
      </c>
      <c r="O10" s="193"/>
      <c r="Q10" s="589" t="s">
        <v>29</v>
      </c>
      <c r="R10" s="590"/>
      <c r="S10" s="590"/>
      <c r="T10" s="591"/>
      <c r="U10" s="163">
        <f>SUM(U8:U9)</f>
        <v>380237.79428571434</v>
      </c>
      <c r="V10" s="163">
        <f>SUM(V8:V9)</f>
        <v>442120</v>
      </c>
      <c r="W10" s="164">
        <f>V10-U10</f>
        <v>61882.205714285665</v>
      </c>
      <c r="X10" s="165">
        <f>W10/V10</f>
        <v>0.13996699021597228</v>
      </c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</row>
    <row r="11" spans="1:155" s="17" customFormat="1" ht="13.5" customHeight="1" thickBot="1" x14ac:dyDescent="0.25">
      <c r="A11" s="106" t="s">
        <v>42</v>
      </c>
      <c r="B11" s="107"/>
      <c r="C11" s="107"/>
      <c r="D11" s="112"/>
      <c r="E11" s="112"/>
      <c r="F11" s="112"/>
      <c r="G11" s="107"/>
      <c r="H11" s="107"/>
      <c r="I11" s="107"/>
      <c r="J11" s="107"/>
      <c r="K11" s="107"/>
      <c r="L11" s="107"/>
      <c r="M11" s="107"/>
      <c r="N11" s="108"/>
      <c r="O11" s="32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</row>
    <row r="12" spans="1:155" s="17" customFormat="1" ht="13.5" customHeight="1" x14ac:dyDescent="0.2">
      <c r="A12" s="248" t="s">
        <v>412</v>
      </c>
      <c r="B12" s="141" t="str">
        <f>VLOOKUP($A12,NSN!$A:$B,2,FALSE)</f>
        <v>C903335</v>
      </c>
      <c r="C12" s="142" t="str">
        <f>VLOOKUP($A12,CODIGOS!$B:$E,4,FALSE)</f>
        <v>800 grs</v>
      </c>
      <c r="D12" s="143">
        <f t="shared" ref="D12:D17" si="0">($F12*$I$3)/1000</f>
        <v>1.6</v>
      </c>
      <c r="E12" s="143">
        <f>IF(VLOOKUP($B12,CODIGOS!$A:$F,6,0)&lt;&gt;1000,(($F12*$I$3)/VLOOKUP($B12,CODIGOS!$A:$F,6,0)),"")</f>
        <v>2</v>
      </c>
      <c r="F12" s="120">
        <v>20</v>
      </c>
      <c r="G12" s="144">
        <f>(F12/1000)*VLOOKUP($B12,CODIGOS!$A:$G,7,0)</f>
        <v>0.02</v>
      </c>
      <c r="H12" s="25">
        <v>4100</v>
      </c>
      <c r="I12" s="362">
        <f t="shared" ref="I12:I17" si="1">$J12/$I$3</f>
        <v>102.5</v>
      </c>
      <c r="J12" s="25">
        <f>IF($E12="",$D12*$H12,$E12*$H12)</f>
        <v>8200</v>
      </c>
      <c r="K12" s="144">
        <f>VLOOKUP($B12,CODIGOS!$A:$K,8,0)*$G12*1000</f>
        <v>70.599999999999994</v>
      </c>
      <c r="L12" s="144">
        <f>VLOOKUP($B12,CODIGOS!$A:$K,9,0)*$G12*1000</f>
        <v>8.0200000000000014</v>
      </c>
      <c r="M12" s="144">
        <f>VLOOKUP($B12,CODIGOS!$A:$K,10,0)*$G12*1000</f>
        <v>0.02</v>
      </c>
      <c r="N12" s="220">
        <f>VLOOKUP($B12,CODIGOS!$A:$K,11,0)*$G12*1000</f>
        <v>9.58</v>
      </c>
      <c r="O12" s="22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</row>
    <row r="13" spans="1:155" s="17" customFormat="1" ht="13.5" customHeight="1" x14ac:dyDescent="0.2">
      <c r="A13" s="248" t="s">
        <v>10</v>
      </c>
      <c r="B13" s="122" t="str">
        <f>VLOOKUP($A13,NSN!$A:$B,2,FALSE)</f>
        <v>C000827</v>
      </c>
      <c r="C13" s="123" t="str">
        <f>VLOOKUP($A13,CODIGOS!$B:$E,4,FALSE)</f>
        <v>KG</v>
      </c>
      <c r="D13" s="124">
        <f t="shared" si="0"/>
        <v>0.12</v>
      </c>
      <c r="E13" s="124" t="str">
        <f>IF(VLOOKUP($B13,CODIGOS!$A:$F,6,0)&lt;&gt;1000,(($F13*$I$3)/VLOOKUP($B13,CODIGOS!$A:$F,6,0)),"")</f>
        <v/>
      </c>
      <c r="F13" s="206">
        <v>1.5</v>
      </c>
      <c r="G13" s="125">
        <f>(F13/1000)*VLOOKUP($B13,CODIGOS!$A:$G,7,0)</f>
        <v>1.5E-3</v>
      </c>
      <c r="H13" s="24">
        <f>VLOOKUP($A13,CODIGOS!$B:$D,2,FALSE)</f>
        <v>7800</v>
      </c>
      <c r="I13" s="24">
        <f t="shared" si="1"/>
        <v>11.7</v>
      </c>
      <c r="J13" s="24">
        <f t="shared" ref="J13:J17" si="2">IF(H13="S/STOCK","",IF($E13="",$D13*$H13,$E13*$H13))</f>
        <v>936</v>
      </c>
      <c r="K13" s="125">
        <f>VLOOKUP($B13,CODIGOS!$A:$K,8,0)*$G13*1000</f>
        <v>1.5000000000000001E-2</v>
      </c>
      <c r="L13" s="125">
        <f>VLOOKUP($B13,CODIGOS!$A:$K,9,0)*$G13*1000</f>
        <v>0</v>
      </c>
      <c r="M13" s="125">
        <f>VLOOKUP($B13,CODIGOS!$A:$K,10,0)*$G13*1000</f>
        <v>0</v>
      </c>
      <c r="N13" s="221">
        <f>VLOOKUP($B13,CODIGOS!$A:$K,11,0)*$G13*1000</f>
        <v>3.0000000000000001E-3</v>
      </c>
      <c r="O13" s="22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</row>
    <row r="14" spans="1:155" s="17" customFormat="1" ht="13.5" customHeight="1" x14ac:dyDescent="0.2">
      <c r="A14" s="248" t="s">
        <v>646</v>
      </c>
      <c r="B14" s="122" t="str">
        <f>VLOOKUP($A14,NSN!$A:$B,2,FALSE)</f>
        <v>C000523</v>
      </c>
      <c r="C14" s="123" t="str">
        <f>VLOOKUP($A14,CODIGOS!$B:$E,4,FALSE)</f>
        <v>TA 400 gr</v>
      </c>
      <c r="D14" s="124">
        <f t="shared" si="0"/>
        <v>0.08</v>
      </c>
      <c r="E14" s="124">
        <f>IF(VLOOKUP($B14,CODIGOS!$A:$F,6,0)&lt;&gt;1000,(($F14*$I$3)/VLOOKUP($B14,CODIGOS!$A:$F,6,0)),"")</f>
        <v>0.2</v>
      </c>
      <c r="F14" s="206">
        <v>1</v>
      </c>
      <c r="G14" s="125">
        <f>(F14/1000)*VLOOKUP($B14,CODIGOS!$A:$G,7,0)</f>
        <v>1E-3</v>
      </c>
      <c r="H14" s="24">
        <f>VLOOKUP($A14,CODIGOS!$B:$D,2,FALSE)</f>
        <v>9990</v>
      </c>
      <c r="I14" s="24">
        <f t="shared" si="1"/>
        <v>24.975000000000001</v>
      </c>
      <c r="J14" s="24">
        <f t="shared" si="2"/>
        <v>1998</v>
      </c>
      <c r="K14" s="125">
        <f>VLOOKUP($B14,CODIGOS!$A:$K,8,0)*$G14*1000</f>
        <v>2.61</v>
      </c>
      <c r="L14" s="125">
        <f>VLOOKUP($B14,CODIGOS!$A:$K,9,0)*$G14*1000</f>
        <v>0.16399999999999998</v>
      </c>
      <c r="M14" s="125">
        <f>VLOOKUP($B14,CODIGOS!$A:$K,10,0)*$G14*1000</f>
        <v>1E-3</v>
      </c>
      <c r="N14" s="221">
        <f>VLOOKUP($B14,CODIGOS!$A:$K,11,0)*$G14*1000</f>
        <v>0.49</v>
      </c>
      <c r="O14" s="22"/>
      <c r="Q14" s="23"/>
      <c r="R14" s="2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</row>
    <row r="15" spans="1:155" s="17" customFormat="1" ht="13.5" customHeight="1" x14ac:dyDescent="0.2">
      <c r="A15" s="248" t="s">
        <v>394</v>
      </c>
      <c r="B15" s="122" t="str">
        <f>VLOOKUP($A15,NSN!$A:$B,2,FALSE)</f>
        <v>C000816</v>
      </c>
      <c r="C15" s="123" t="str">
        <f>VLOOKUP($A15,CODIGOS!$B:$E,4,FALSE)</f>
        <v>KG</v>
      </c>
      <c r="D15" s="124">
        <f t="shared" si="0"/>
        <v>0.8</v>
      </c>
      <c r="E15" s="124" t="str">
        <f>IF(VLOOKUP($B15,CODIGOS!$A:$F,6,0)&lt;&gt;1000,(($F15*$I$3)/VLOOKUP($B15,CODIGOS!$A:$F,6,0)),"")</f>
        <v/>
      </c>
      <c r="F15" s="210">
        <v>10</v>
      </c>
      <c r="G15" s="208">
        <f>(F15/1000)*VLOOKUP($B15,CODIGOS!$A:$G,7,0)</f>
        <v>0.01</v>
      </c>
      <c r="H15" s="24">
        <f>VLOOKUP($A15,CODIGOS!$B:$D,2,FALSE)</f>
        <v>1128</v>
      </c>
      <c r="I15" s="24">
        <f t="shared" si="1"/>
        <v>11.280000000000001</v>
      </c>
      <c r="J15" s="24">
        <f t="shared" si="2"/>
        <v>902.40000000000009</v>
      </c>
      <c r="K15" s="125">
        <f>VLOOKUP($B15,CODIGOS!$A:$K,8,0)*$G15*1000</f>
        <v>39.800000000000004</v>
      </c>
      <c r="L15" s="125">
        <f>VLOOKUP($B15,CODIGOS!$A:$K,9,0)*$G15*1000</f>
        <v>0</v>
      </c>
      <c r="M15" s="125">
        <f>VLOOKUP($B15,CODIGOS!$A:$K,10,0)*$G15*1000</f>
        <v>0</v>
      </c>
      <c r="N15" s="221">
        <f>VLOOKUP($B15,CODIGOS!$A:$K,11,0)*$G15*1000</f>
        <v>9.9500000000000011</v>
      </c>
      <c r="O15" s="192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</row>
    <row r="16" spans="1:155" ht="13.5" customHeight="1" x14ac:dyDescent="0.2">
      <c r="A16" s="248" t="s">
        <v>2001</v>
      </c>
      <c r="B16" s="122" t="str">
        <f>VLOOKUP($A16,NSN!$A:$B,2,FALSE)</f>
        <v>C903445</v>
      </c>
      <c r="C16" s="123" t="str">
        <f>VLOOKUP($A16,CODIGOS!$B:$E,4,FALSE)</f>
        <v>200 grs</v>
      </c>
      <c r="D16" s="124">
        <f t="shared" si="0"/>
        <v>2</v>
      </c>
      <c r="E16" s="124">
        <f>IF(VLOOKUP($B16,CODIGOS!$A:$F,6,0)&lt;&gt;1000,(($F16*$I$3)/VLOOKUP($B16,CODIGOS!$A:$F,6,0)),"")</f>
        <v>10</v>
      </c>
      <c r="F16" s="501">
        <v>25</v>
      </c>
      <c r="G16" s="208">
        <f>(F16/1000)*VLOOKUP($B16,CODIGOS!$A:$G,7,0)</f>
        <v>2.5000000000000001E-2</v>
      </c>
      <c r="H16" s="24">
        <f>VLOOKUP($A16,CODIGOS!$B:$D,2,FALSE)</f>
        <v>1057</v>
      </c>
      <c r="I16" s="24">
        <f t="shared" si="1"/>
        <v>132.125</v>
      </c>
      <c r="J16" s="24">
        <f t="shared" si="2"/>
        <v>10570</v>
      </c>
      <c r="K16" s="125">
        <f>VLOOKUP($B16,CODIGOS!$A:$K,8,0)*$G16*1000</f>
        <v>10.5</v>
      </c>
      <c r="L16" s="125">
        <f>VLOOKUP($B16,CODIGOS!$A:$K,9,0)*$G16*1000</f>
        <v>7.5000000000000011E-2</v>
      </c>
      <c r="M16" s="125">
        <f>VLOOKUP($B16,CODIGOS!$A:$K,10,0)*$G16*1000</f>
        <v>0.05</v>
      </c>
      <c r="N16" s="221">
        <f>VLOOKUP($B16,CODIGOS!$A:$K,11,0)*$G16*1000</f>
        <v>1.5250000000000001</v>
      </c>
      <c r="O16" s="192"/>
    </row>
    <row r="17" spans="1:14" ht="13.5" thickBot="1" x14ac:dyDescent="0.25">
      <c r="A17" s="248" t="s">
        <v>13</v>
      </c>
      <c r="B17" s="148" t="str">
        <f>VLOOKUP($A17,NSN!$A:$B,2,FALSE)</f>
        <v>V000415</v>
      </c>
      <c r="C17" s="149" t="str">
        <f>VLOOKUP($A17,CODIGOS!$B:$E,4,FALSE)</f>
        <v>KG</v>
      </c>
      <c r="D17" s="150">
        <f t="shared" si="0"/>
        <v>8</v>
      </c>
      <c r="E17" s="150" t="str">
        <f>IF(VLOOKUP($B17,CODIGOS!$A:$F,6,0)&lt;&gt;1000,(($F17*$I$3)/VLOOKUP($B17,CODIGOS!$A:$F,6,0)),"")</f>
        <v/>
      </c>
      <c r="F17" s="502">
        <v>100</v>
      </c>
      <c r="G17" s="137">
        <f>(F17/1000)*VLOOKUP($B17,CODIGOS!$A:$G,7,0)</f>
        <v>0.1</v>
      </c>
      <c r="H17" s="222">
        <f>VLOOKUP($A17,CODIGOS!$B:$D,2,FALSE)</f>
        <v>1783</v>
      </c>
      <c r="I17" s="24">
        <f t="shared" si="1"/>
        <v>178.3</v>
      </c>
      <c r="J17" s="222">
        <f t="shared" si="2"/>
        <v>14264</v>
      </c>
      <c r="K17" s="137">
        <f>VLOOKUP($B17,CODIGOS!$A:$K,8,0)*$G17*1000</f>
        <v>315</v>
      </c>
      <c r="L17" s="137">
        <f>VLOOKUP($B17,CODIGOS!$A:$K,9,0)*$G17*1000</f>
        <v>8.1999999999999993</v>
      </c>
      <c r="M17" s="137">
        <f>VLOOKUP($B17,CODIGOS!$A:$K,10,0)*$G17*1000</f>
        <v>4</v>
      </c>
      <c r="N17" s="223">
        <f>VLOOKUP($B17,CODIGOS!$A:$K,11,0)*$G17*1000</f>
        <v>61.6</v>
      </c>
    </row>
    <row r="18" spans="1:14" ht="13.5" thickBot="1" x14ac:dyDescent="0.25">
      <c r="A18" s="17" t="s">
        <v>627</v>
      </c>
      <c r="B18" s="33"/>
      <c r="C18" s="18"/>
      <c r="D18" s="126"/>
      <c r="E18" s="126"/>
      <c r="F18" s="127"/>
      <c r="G18" s="19"/>
      <c r="H18" s="41"/>
      <c r="I18" s="224">
        <f t="shared" ref="I18:N18" si="3">SUM(I12:I17)</f>
        <v>460.88000000000005</v>
      </c>
      <c r="J18" s="225">
        <f t="shared" si="3"/>
        <v>36870.400000000001</v>
      </c>
      <c r="K18" s="226">
        <f t="shared" si="3"/>
        <v>438.52499999999998</v>
      </c>
      <c r="L18" s="226">
        <f t="shared" si="3"/>
        <v>16.459</v>
      </c>
      <c r="M18" s="226">
        <f t="shared" si="3"/>
        <v>4.0709999999999997</v>
      </c>
      <c r="N18" s="227">
        <f t="shared" si="3"/>
        <v>83.147999999999996</v>
      </c>
    </row>
    <row r="19" spans="1:14" ht="13.5" thickBot="1" x14ac:dyDescent="0.25">
      <c r="A19" s="106" t="s">
        <v>21</v>
      </c>
      <c r="B19" s="107"/>
      <c r="C19" s="107"/>
      <c r="D19" s="112"/>
      <c r="E19" s="112"/>
      <c r="F19" s="117"/>
      <c r="G19" s="107"/>
      <c r="H19" s="107"/>
      <c r="I19" s="191"/>
      <c r="J19" s="191"/>
      <c r="K19" s="191"/>
      <c r="L19" s="191"/>
      <c r="M19" s="191"/>
      <c r="N19" s="200"/>
    </row>
    <row r="20" spans="1:14" x14ac:dyDescent="0.2">
      <c r="A20" s="248" t="s">
        <v>72</v>
      </c>
      <c r="B20" s="141" t="str">
        <f>VLOOKUP($A20,NSN!$A:$B,2,FALSE)</f>
        <v>C902859</v>
      </c>
      <c r="C20" s="142" t="str">
        <f>VLOOKUP($A20,CODIGOS!$B:$E,4,FALSE)</f>
        <v>KG</v>
      </c>
      <c r="D20" s="143">
        <f>($F20*$I$2)/1000</f>
        <v>1.2</v>
      </c>
      <c r="E20" s="143" t="str">
        <f>IF(VLOOKUP($B20,CODIGOS!$A:$F,6,0)&lt;&gt;1000,(($F20*$I$2)/VLOOKUP($B20,CODIGOS!$A:$F,6,0)),"")</f>
        <v/>
      </c>
      <c r="F20" s="207">
        <v>6</v>
      </c>
      <c r="G20" s="244">
        <f>(F20/1000)*VLOOKUP($B20,CODIGOS!$A:$G,7,0)</f>
        <v>6.0000000000000001E-3</v>
      </c>
      <c r="H20" s="25">
        <f>VLOOKUP($A20,CODIGOS!$B:$D,2,FALSE)</f>
        <v>2986</v>
      </c>
      <c r="I20" s="202">
        <f t="shared" ref="I20:I39" si="4">IF($H20="S/STOCK","",$J20/$I$2)</f>
        <v>17.916</v>
      </c>
      <c r="J20" s="59">
        <f t="shared" ref="J20:J27" si="5">IF(H20="S/STOCK","",IF($E20="",$D20*$H20,$E20*$H20))</f>
        <v>3583.2</v>
      </c>
      <c r="K20" s="128">
        <f>VLOOKUP($B20,CODIGOS!$A:$K,8,0)*$G20*1000</f>
        <v>21.54</v>
      </c>
      <c r="L20" s="129">
        <f>VLOOKUP($B20,CODIGOS!$A:$K,9,0)*$G20*1000</f>
        <v>0</v>
      </c>
      <c r="M20" s="129">
        <f>VLOOKUP($B20,CODIGOS!$A:$K,10,0)*$G20*1000</f>
        <v>0</v>
      </c>
      <c r="N20" s="130">
        <f>VLOOKUP($B20,CODIGOS!$A:$K,11,0)*$G20*1000</f>
        <v>5.3759999999999994</v>
      </c>
    </row>
    <row r="21" spans="1:14" x14ac:dyDescent="0.2">
      <c r="A21" s="248" t="s">
        <v>13</v>
      </c>
      <c r="B21" s="122" t="str">
        <f>VLOOKUP($A21,NSN!$A:$B,2,FALSE)</f>
        <v>V000415</v>
      </c>
      <c r="C21" s="123" t="str">
        <f>VLOOKUP($A21,CODIGOS!$B:$E,4,FALSE)</f>
        <v>KG</v>
      </c>
      <c r="D21" s="124">
        <f t="shared" ref="D21:D39" si="6">($F21*$I$2)/1000</f>
        <v>10</v>
      </c>
      <c r="E21" s="124" t="str">
        <f>IF(VLOOKUP($B21,CODIGOS!$A:$F,6,0)&lt;&gt;1000,(($F21*$I$2)/VLOOKUP($B21,CODIGOS!$A:$F,6,0)),"")</f>
        <v/>
      </c>
      <c r="F21" s="119">
        <v>50</v>
      </c>
      <c r="G21" s="245">
        <f>(F21/1000)*VLOOKUP($B21,CODIGOS!$A:$G,7,0)</f>
        <v>0.05</v>
      </c>
      <c r="H21" s="24">
        <f>VLOOKUP($A21,CODIGOS!$B:$D,2,FALSE)</f>
        <v>1783</v>
      </c>
      <c r="I21" s="203">
        <f t="shared" si="4"/>
        <v>89.15</v>
      </c>
      <c r="J21" s="24">
        <f t="shared" si="5"/>
        <v>17830</v>
      </c>
      <c r="K21" s="131">
        <f>VLOOKUP($B21,CODIGOS!$A:$K,8,0)*$G21*1000</f>
        <v>157.5</v>
      </c>
      <c r="L21" s="132">
        <f>VLOOKUP($B21,CODIGOS!$A:$K,9,0)*$G21*1000</f>
        <v>4.0999999999999996</v>
      </c>
      <c r="M21" s="132">
        <f>VLOOKUP($B21,CODIGOS!$A:$K,10,0)*$G21*1000</f>
        <v>2</v>
      </c>
      <c r="N21" s="133">
        <f>VLOOKUP($B21,CODIGOS!$A:$K,11,0)*$G21*1000</f>
        <v>30.8</v>
      </c>
    </row>
    <row r="22" spans="1:14" x14ac:dyDescent="0.2">
      <c r="A22" s="248" t="s">
        <v>2337</v>
      </c>
      <c r="B22" s="122" t="str">
        <f>VLOOKUP($A22,NSN!$A:$B,2,FALSE)</f>
        <v>C903555</v>
      </c>
      <c r="C22" s="123" t="str">
        <f>VLOOKUP($A22,CODIGOS!$B:$E,4,FALSE)</f>
        <v>KG</v>
      </c>
      <c r="D22" s="124">
        <f t="shared" si="6"/>
        <v>0</v>
      </c>
      <c r="E22" s="124" t="str">
        <f>IF(VLOOKUP($B22,CODIGOS!$A:$F,6,0)&lt;&gt;1000,(($F22*$I$2)/VLOOKUP($B22,CODIGOS!$A:$F,6,0)),"")</f>
        <v/>
      </c>
      <c r="F22" s="511">
        <v>0</v>
      </c>
      <c r="G22" s="136">
        <f>(F22/1000)*VLOOKUP($B22,CODIGOS!$A:$G,7,0)</f>
        <v>0</v>
      </c>
      <c r="H22" s="24">
        <f>VLOOKUP($A22,CODIGOS!$B:$D,2,FALSE)</f>
        <v>4165</v>
      </c>
      <c r="I22" s="204">
        <f t="shared" si="4"/>
        <v>0</v>
      </c>
      <c r="J22" s="60">
        <f t="shared" si="5"/>
        <v>0</v>
      </c>
      <c r="K22" s="132">
        <f>VLOOKUP($B22,CODIGOS!$A:$K,8,0)*$G22*1000</f>
        <v>0</v>
      </c>
      <c r="L22" s="132">
        <f>VLOOKUP($B22,CODIGOS!$A:$K,9,0)*$G22*1000</f>
        <v>0</v>
      </c>
      <c r="M22" s="132">
        <f>VLOOKUP($B22,CODIGOS!$A:$K,10,0)*$G22*1000</f>
        <v>0</v>
      </c>
      <c r="N22" s="133">
        <f>VLOOKUP($B22,CODIGOS!$A:$K,11,0)*$G22*1000</f>
        <v>0</v>
      </c>
    </row>
    <row r="23" spans="1:14" x14ac:dyDescent="0.2">
      <c r="A23" s="248" t="s">
        <v>147</v>
      </c>
      <c r="B23" s="122" t="str">
        <f>VLOOKUP($A23,NSN!$A:$B,2,FALSE)</f>
        <v>V000014</v>
      </c>
      <c r="C23" s="123" t="str">
        <f>VLOOKUP($A23,CODIGOS!$B:$E,4,FALSE)</f>
        <v>NR 35 g</v>
      </c>
      <c r="D23" s="124">
        <f t="shared" si="6"/>
        <v>0.1</v>
      </c>
      <c r="E23" s="124">
        <f>IF(VLOOKUP($B23,CODIGOS!$A:$F,6,0)&lt;&gt;1000,(($F23*$I$2)/VLOOKUP($B23,CODIGOS!$A:$F,6,0)),"")</f>
        <v>2.8571428571428572</v>
      </c>
      <c r="F23" s="511">
        <v>0.5</v>
      </c>
      <c r="G23" s="136">
        <f>(F23/1000)*VLOOKUP($B23,CODIGOS!$A:$G,7,0)</f>
        <v>5.0000000000000001E-4</v>
      </c>
      <c r="H23" s="24">
        <f>VLOOKUP($A23,CODIGOS!$B:$D,2,FALSE)</f>
        <v>297</v>
      </c>
      <c r="I23" s="204">
        <f t="shared" si="4"/>
        <v>4.2428571428571429</v>
      </c>
      <c r="J23" s="60">
        <f t="shared" si="5"/>
        <v>848.57142857142856</v>
      </c>
      <c r="K23" s="132">
        <f>VLOOKUP($B23,CODIGOS!$A:$K,8,0)*$G23*1000</f>
        <v>0.69499999999999995</v>
      </c>
      <c r="L23" s="132">
        <f>VLOOKUP($B23,CODIGOS!$A:$K,9,0)*$G23*1000</f>
        <v>3.3500000000000002E-2</v>
      </c>
      <c r="M23" s="132">
        <f>VLOOKUP($B23,CODIGOS!$A:$K,10,0)*$G23*1000</f>
        <v>2E-3</v>
      </c>
      <c r="N23" s="133">
        <f>VLOOKUP($B23,CODIGOS!$A:$K,11,0)*$G23*1000</f>
        <v>0.13600000000000004</v>
      </c>
    </row>
    <row r="24" spans="1:14" x14ac:dyDescent="0.2">
      <c r="A24" s="248" t="s">
        <v>14</v>
      </c>
      <c r="B24" s="122" t="str">
        <f>VLOOKUP($A24,NSN!$A:$B,2,FALSE)</f>
        <v>V000231</v>
      </c>
      <c r="C24" s="123" t="str">
        <f>VLOOKUP($A24,CODIGOS!$B:$E,4,FALSE)</f>
        <v>NR 200 gr</v>
      </c>
      <c r="D24" s="124">
        <f t="shared" si="6"/>
        <v>0.1</v>
      </c>
      <c r="E24" s="124">
        <f>IF(VLOOKUP($B24,CODIGOS!$A:$F,6,0)&lt;&gt;1000,(($F24*$I$2)/VLOOKUP($B24,CODIGOS!$A:$F,6,0)),"")</f>
        <v>0.5</v>
      </c>
      <c r="F24" s="511">
        <v>0.5</v>
      </c>
      <c r="G24" s="136">
        <f>(F24/1000)*VLOOKUP($B24,CODIGOS!$A:$G,7,0)</f>
        <v>4.3850000000000003E-4</v>
      </c>
      <c r="H24" s="24">
        <f>VLOOKUP($A24,CODIGOS!$B:$D,2,FALSE)</f>
        <v>774</v>
      </c>
      <c r="I24" s="204">
        <f t="shared" si="4"/>
        <v>1.9350000000000001</v>
      </c>
      <c r="J24" s="60">
        <f t="shared" si="5"/>
        <v>387</v>
      </c>
      <c r="K24" s="132">
        <f>VLOOKUP($B24,CODIGOS!$A:$K,8,0)*$G24*1000</f>
        <v>0.25871500000000003</v>
      </c>
      <c r="L24" s="132">
        <f>VLOOKUP($B24,CODIGOS!$A:$K,9,0)*$G24*1000</f>
        <v>1.3593500000000001E-2</v>
      </c>
      <c r="M24" s="132">
        <f>VLOOKUP($B24,CODIGOS!$A:$K,10,0)*$G24*1000</f>
        <v>2.6310000000000001E-3</v>
      </c>
      <c r="N24" s="133">
        <f>VLOOKUP($B24,CODIGOS!$A:$K,11,0)*$G24*1000</f>
        <v>4.5165500000000004E-2</v>
      </c>
    </row>
    <row r="25" spans="1:14" x14ac:dyDescent="0.2">
      <c r="A25" s="248" t="s">
        <v>605</v>
      </c>
      <c r="B25" s="122" t="str">
        <f>VLOOKUP($A25,NSN!$A:$B,2,FALSE)</f>
        <v>V000305</v>
      </c>
      <c r="C25" s="123" t="str">
        <f>VLOOKUP($A25,CODIGOS!$B:$E,4,FALSE)</f>
        <v>KG</v>
      </c>
      <c r="D25" s="124">
        <f t="shared" si="6"/>
        <v>1</v>
      </c>
      <c r="E25" s="124" t="str">
        <f>IF(VLOOKUP($B25,CODIGOS!$A:$F,6,0)&lt;&gt;1000,(($F25*$I$2)/VLOOKUP($B25,CODIGOS!$A:$F,6,0)),"")</f>
        <v/>
      </c>
      <c r="F25" s="511">
        <v>5</v>
      </c>
      <c r="G25" s="136">
        <f>(F25/1000)*VLOOKUP($B25,CODIGOS!$A:$G,7,0)</f>
        <v>5.0000000000000001E-3</v>
      </c>
      <c r="H25" s="24">
        <f>VLOOKUP($A25,CODIGOS!$B:$D,2,FALSE)</f>
        <v>2559</v>
      </c>
      <c r="I25" s="204">
        <f t="shared" si="4"/>
        <v>12.795</v>
      </c>
      <c r="J25" s="60">
        <f t="shared" si="5"/>
        <v>2559</v>
      </c>
      <c r="K25" s="132">
        <f>VLOOKUP($B25,CODIGOS!$A:$K,8,0)*$G25*1000</f>
        <v>17.350000000000001</v>
      </c>
      <c r="L25" s="132">
        <f>VLOOKUP($B25,CODIGOS!$A:$K,9,0)*$G25*1000</f>
        <v>0.40500000000000003</v>
      </c>
      <c r="M25" s="132">
        <f>VLOOKUP($B25,CODIGOS!$A:$K,10,0)*$G25*1000</f>
        <v>3.4999999999999996E-2</v>
      </c>
      <c r="N25" s="133">
        <f>VLOOKUP($B25,CODIGOS!$A:$K,11,0)*$G25*1000</f>
        <v>3.8750000000000004</v>
      </c>
    </row>
    <row r="26" spans="1:14" x14ac:dyDescent="0.2">
      <c r="A26" s="248" t="s">
        <v>429</v>
      </c>
      <c r="B26" s="122" t="str">
        <f>VLOOKUP($A26,NSN!$A:$B,2,FALSE)</f>
        <v>C902472</v>
      </c>
      <c r="C26" s="123" t="str">
        <f>VLOOKUP($A26,CODIGOS!$B:$E,4,FALSE)</f>
        <v>KG</v>
      </c>
      <c r="D26" s="124">
        <f t="shared" si="6"/>
        <v>20</v>
      </c>
      <c r="E26" s="124" t="str">
        <f>IF(VLOOKUP($B26,CODIGOS!$A:$F,6,0)&lt;&gt;1000,(($F26*$I$2)/VLOOKUP($B26,CODIGOS!$A:$F,6,0)),"")</f>
        <v/>
      </c>
      <c r="F26" s="511">
        <v>100</v>
      </c>
      <c r="G26" s="136">
        <f>(F26/1000)*VLOOKUP($B26,CODIGOS!$A:$G,7,0)</f>
        <v>6.480000000000001E-2</v>
      </c>
      <c r="H26" s="24">
        <f>VLOOKUP($A26,CODIGOS!$B:$D,2,FALSE)</f>
        <v>4940</v>
      </c>
      <c r="I26" s="204">
        <f t="shared" si="4"/>
        <v>494</v>
      </c>
      <c r="J26" s="60">
        <f t="shared" si="5"/>
        <v>98800</v>
      </c>
      <c r="K26" s="132">
        <f>VLOOKUP($B26,CODIGOS!$A:$K,8,0)*$G26*1000</f>
        <v>84.240000000000023</v>
      </c>
      <c r="L26" s="132">
        <f>VLOOKUP($B26,CODIGOS!$A:$K,9,0)*$G26*1000</f>
        <v>13.932000000000002</v>
      </c>
      <c r="M26" s="132">
        <f>VLOOKUP($B26,CODIGOS!$A:$K,10,0)*$G26*1000</f>
        <v>2.7216000000000005</v>
      </c>
      <c r="N26" s="133">
        <f>VLOOKUP($B26,CODIGOS!$A:$K,11,0)*$G26*1000</f>
        <v>2.7864</v>
      </c>
    </row>
    <row r="27" spans="1:14" x14ac:dyDescent="0.2">
      <c r="A27" s="248" t="s">
        <v>22</v>
      </c>
      <c r="B27" s="122" t="str">
        <f>VLOOKUP($A27,NSN!$A:$B,2,FALSE)</f>
        <v>V000324</v>
      </c>
      <c r="C27" s="123" t="str">
        <f>VLOOKUP($A27,CODIGOS!$B:$E,4,FALSE)</f>
        <v>KG</v>
      </c>
      <c r="D27" s="124">
        <f t="shared" si="6"/>
        <v>4</v>
      </c>
      <c r="E27" s="124" t="str">
        <f>IF(VLOOKUP($B27,CODIGOS!$A:$F,6,0)&lt;&gt;1000,(($F27*$I$2)/VLOOKUP($B27,CODIGOS!$A:$F,6,0)),"")</f>
        <v/>
      </c>
      <c r="F27" s="511">
        <v>20</v>
      </c>
      <c r="G27" s="136">
        <f>(F27/1000)*VLOOKUP($B27,CODIGOS!$A:$G,7,0)</f>
        <v>0.02</v>
      </c>
      <c r="H27" s="24">
        <f>VLOOKUP($A27,CODIGOS!$B:$D,2,FALSE)</f>
        <v>3513</v>
      </c>
      <c r="I27" s="204">
        <f t="shared" si="4"/>
        <v>70.260000000000005</v>
      </c>
      <c r="J27" s="60">
        <f t="shared" si="5"/>
        <v>14052</v>
      </c>
      <c r="K27" s="132">
        <f>VLOOKUP($B27,CODIGOS!$A:$K,8,0)*$G27*1000</f>
        <v>64.400000000000006</v>
      </c>
      <c r="L27" s="132">
        <f>VLOOKUP($B27,CODIGOS!$A:$K,9,0)*$G27*1000</f>
        <v>2.5</v>
      </c>
      <c r="M27" s="132">
        <f>VLOOKUP($B27,CODIGOS!$A:$K,10,0)*$G27*1000</f>
        <v>5.94</v>
      </c>
      <c r="N27" s="133">
        <f>VLOOKUP($B27,CODIGOS!$A:$K,11,0)*$G27*1000</f>
        <v>0.2</v>
      </c>
    </row>
    <row r="28" spans="1:14" x14ac:dyDescent="0.2">
      <c r="A28" s="248" t="s">
        <v>56</v>
      </c>
      <c r="B28" s="122" t="str">
        <f>VLOOKUP($A28,NSN!$A:$B,2,FALSE)</f>
        <v>C000249</v>
      </c>
      <c r="C28" s="123" t="str">
        <f>VLOOKUP($A28,CODIGOS!$B:$E,4,FALSE)</f>
        <v>KG</v>
      </c>
      <c r="D28" s="124">
        <f t="shared" si="6"/>
        <v>4</v>
      </c>
      <c r="E28" s="124" t="str">
        <f>IF(VLOOKUP($B28,CODIGOS!$A:$F,6,0)&lt;&gt;1000,(($F28*$I$2)/VLOOKUP($B28,CODIGOS!$A:$F,6,0)),"")</f>
        <v/>
      </c>
      <c r="F28" s="511">
        <v>20</v>
      </c>
      <c r="G28" s="136">
        <f>(F28/1000)*VLOOKUP($B28,CODIGOS!$A:$G,7,0)</f>
        <v>1.7819999999999999E-2</v>
      </c>
      <c r="H28" s="24">
        <f>VLOOKUP($A28,CODIGOS!$B:$D,2,FALSE)</f>
        <v>640</v>
      </c>
      <c r="I28" s="204">
        <f t="shared" si="4"/>
        <v>12.8</v>
      </c>
      <c r="J28" s="60">
        <f t="shared" ref="J28" si="7">IF(H28="S/STOCK","",IF($E28="",$D28*$H28,$E28*$H28))</f>
        <v>2560</v>
      </c>
      <c r="K28" s="132">
        <f>VLOOKUP($B28,CODIGOS!$A:$K,8,0)*$G28*1000</f>
        <v>7.6625999999999994</v>
      </c>
      <c r="L28" s="132">
        <f>VLOOKUP($B28,CODIGOS!$A:$K,9,0)*$G28*1000</f>
        <v>0.14255999999999999</v>
      </c>
      <c r="M28" s="132">
        <f>VLOOKUP($B28,CODIGOS!$A:$K,10,0)*$G28*1000</f>
        <v>3.5639999999999998E-2</v>
      </c>
      <c r="N28" s="133">
        <f>VLOOKUP($B28,CODIGOS!$A:$K,11,0)*$G28*1000</f>
        <v>1.71072</v>
      </c>
    </row>
    <row r="29" spans="1:14" x14ac:dyDescent="0.2">
      <c r="A29" s="248" t="s">
        <v>147</v>
      </c>
      <c r="B29" s="122" t="str">
        <f>VLOOKUP($A29,NSN!$A:$B,2,FALSE)</f>
        <v>V000014</v>
      </c>
      <c r="C29" s="123" t="str">
        <f>VLOOKUP($A29,CODIGOS!$B:$E,4,FALSE)</f>
        <v>NR 35 g</v>
      </c>
      <c r="D29" s="124">
        <f t="shared" si="6"/>
        <v>0.2</v>
      </c>
      <c r="E29" s="124">
        <f>IF(VLOOKUP($B29,CODIGOS!$A:$F,6,0)&lt;&gt;1000,(($F29*$I$2)/VLOOKUP($B29,CODIGOS!$A:$F,6,0)),"")</f>
        <v>5.7142857142857144</v>
      </c>
      <c r="F29" s="511">
        <v>1</v>
      </c>
      <c r="G29" s="136">
        <f>(F29/1000)*VLOOKUP($B29,CODIGOS!$A:$G,7,0)</f>
        <v>1E-3</v>
      </c>
      <c r="H29" s="24">
        <f>VLOOKUP($A29,CODIGOS!$B:$D,2,FALSE)</f>
        <v>297</v>
      </c>
      <c r="I29" s="204">
        <f t="shared" si="4"/>
        <v>8.4857142857142858</v>
      </c>
      <c r="J29" s="60">
        <f t="shared" ref="J29:J39" si="8">IF(H29="S/STOCK","",IF($E29="",$D29*$H29,$E29*$H29))</f>
        <v>1697.1428571428571</v>
      </c>
      <c r="K29" s="132">
        <f>VLOOKUP($B29,CODIGOS!$A:$K,8,0)*$G29*1000</f>
        <v>1.39</v>
      </c>
      <c r="L29" s="132">
        <f>VLOOKUP($B29,CODIGOS!$A:$K,9,0)*$G29*1000</f>
        <v>6.7000000000000004E-2</v>
      </c>
      <c r="M29" s="132">
        <f>VLOOKUP($B29,CODIGOS!$A:$K,10,0)*$G29*1000</f>
        <v>4.0000000000000001E-3</v>
      </c>
      <c r="N29" s="133">
        <f>VLOOKUP($B29,CODIGOS!$A:$K,11,0)*$G29*1000</f>
        <v>0.27200000000000008</v>
      </c>
    </row>
    <row r="30" spans="1:14" x14ac:dyDescent="0.2">
      <c r="A30" s="248" t="s">
        <v>199</v>
      </c>
      <c r="B30" s="122" t="str">
        <f>VLOOKUP($A30,NSN!$A:$B,2,FALSE)</f>
        <v>V000330</v>
      </c>
      <c r="C30" s="123" t="str">
        <f>VLOOKUP($A30,CODIGOS!$B:$E,4,FALSE)</f>
        <v>KG</v>
      </c>
      <c r="D30" s="124">
        <f t="shared" si="6"/>
        <v>4</v>
      </c>
      <c r="E30" s="124" t="str">
        <f>IF(VLOOKUP($B30,CODIGOS!$A:$F,6,0)&lt;&gt;1000,(($F30*$I$2)/VLOOKUP($B30,CODIGOS!$A:$F,6,0)),"")</f>
        <v/>
      </c>
      <c r="F30" s="511">
        <v>20</v>
      </c>
      <c r="G30" s="136">
        <f>(F30/1000)*VLOOKUP($B30,CODIGOS!$A:$G,7,0)</f>
        <v>1.804E-2</v>
      </c>
      <c r="H30" s="24">
        <f>VLOOKUP($A30,CODIGOS!$B:$D,2,FALSE)</f>
        <v>1287</v>
      </c>
      <c r="I30" s="204">
        <f t="shared" si="4"/>
        <v>25.74</v>
      </c>
      <c r="J30" s="60">
        <f t="shared" si="8"/>
        <v>5148</v>
      </c>
      <c r="K30" s="132">
        <f>VLOOKUP($B30,CODIGOS!$A:$K,8,0)*$G30*1000</f>
        <v>15.5144</v>
      </c>
      <c r="L30" s="132">
        <f>VLOOKUP($B30,CODIGOS!$A:$K,9,0)*$G30*1000</f>
        <v>0.16236</v>
      </c>
      <c r="M30" s="132">
        <f>VLOOKUP($B30,CODIGOS!$A:$K,10,0)*$G30*1000</f>
        <v>9.0200000000000016E-2</v>
      </c>
      <c r="N30" s="133">
        <f>VLOOKUP($B30,CODIGOS!$A:$K,11,0)*$G30*1000</f>
        <v>1.4612400000000001</v>
      </c>
    </row>
    <row r="31" spans="1:14" x14ac:dyDescent="0.2">
      <c r="A31" s="248" t="s">
        <v>640</v>
      </c>
      <c r="B31" s="122" t="str">
        <f>VLOOKUP($A31,NSN!$A:$B,2,FALSE)</f>
        <v>C903242</v>
      </c>
      <c r="C31" s="123" t="str">
        <f>VLOOKUP($A31,CODIGOS!$B:$E,4,FALSE)</f>
        <v>KG</v>
      </c>
      <c r="D31" s="124">
        <f t="shared" si="6"/>
        <v>2</v>
      </c>
      <c r="E31" s="124" t="str">
        <f>IF(VLOOKUP($B31,CODIGOS!$A:$F,6,0)&lt;&gt;1000,(($F31*$I$2)/VLOOKUP($B31,CODIGOS!$A:$F,6,0)),"")</f>
        <v/>
      </c>
      <c r="F31" s="511">
        <v>10</v>
      </c>
      <c r="G31" s="136">
        <f>(F31/1000)*VLOOKUP($B31,CODIGOS!$A:$G,7,0)</f>
        <v>0.01</v>
      </c>
      <c r="H31" s="24">
        <f>VLOOKUP($A31,CODIGOS!$B:$D,2,FALSE)</f>
        <v>2690</v>
      </c>
      <c r="I31" s="204">
        <f t="shared" si="4"/>
        <v>26.9</v>
      </c>
      <c r="J31" s="60">
        <f t="shared" ref="J31:J32" si="9">IF(H31="S/STOCK","",IF($E31="",$D31*$H31,$E31*$H31))</f>
        <v>5380</v>
      </c>
      <c r="K31" s="132">
        <f>VLOOKUP($B31,CODIGOS!$A:$K,8,0)*$G31*1000</f>
        <v>8.1999999999999993</v>
      </c>
      <c r="L31" s="132">
        <f>VLOOKUP($B31,CODIGOS!$A:$K,9,0)*$G31*1000</f>
        <v>0.27000000000000007</v>
      </c>
      <c r="M31" s="132">
        <f>VLOOKUP($B31,CODIGOS!$A:$K,10,0)*$G31*1000</f>
        <v>0.1</v>
      </c>
      <c r="N31" s="133">
        <f>VLOOKUP($B31,CODIGOS!$A:$K,11,0)*$G31*1000</f>
        <v>1.55</v>
      </c>
    </row>
    <row r="32" spans="1:14" x14ac:dyDescent="0.2">
      <c r="A32" s="248" t="s">
        <v>508</v>
      </c>
      <c r="B32" s="122" t="str">
        <f>VLOOKUP($A32,NSN!$A:$B,2,FALSE)</f>
        <v>V000395</v>
      </c>
      <c r="C32" s="123" t="str">
        <f>VLOOKUP($A32,CODIGOS!$B:$E,4,FALSE)</f>
        <v>KG</v>
      </c>
      <c r="D32" s="124">
        <f t="shared" si="6"/>
        <v>4</v>
      </c>
      <c r="E32" s="124" t="str">
        <f>IF(VLOOKUP($B32,CODIGOS!$A:$F,6,0)&lt;&gt;1000,(($F32*$I$2)/VLOOKUP($B32,CODIGOS!$A:$F,6,0)),"")</f>
        <v/>
      </c>
      <c r="F32" s="511">
        <v>20</v>
      </c>
      <c r="G32" s="136">
        <f>(F32/1000)*VLOOKUP($B32,CODIGOS!$A:$G,7,0)</f>
        <v>0.02</v>
      </c>
      <c r="H32" s="24">
        <f>VLOOKUP($A32,CODIGOS!$B:$D,2,FALSE)</f>
        <v>2390</v>
      </c>
      <c r="I32" s="204">
        <f t="shared" si="4"/>
        <v>47.8</v>
      </c>
      <c r="J32" s="60">
        <f t="shared" si="9"/>
        <v>9560</v>
      </c>
      <c r="K32" s="132">
        <f>VLOOKUP($B32,CODIGOS!$A:$K,8,0)*$G32*1000</f>
        <v>15.600000000000001</v>
      </c>
      <c r="L32" s="132">
        <f>VLOOKUP($B32,CODIGOS!$A:$K,9,0)*$G32*1000</f>
        <v>1.04</v>
      </c>
      <c r="M32" s="132">
        <f>VLOOKUP($B32,CODIGOS!$A:$K,10,0)*$G32*1000</f>
        <v>6.0000000000000005E-2</v>
      </c>
      <c r="N32" s="133">
        <f>VLOOKUP($B32,CODIGOS!$A:$K,11,0)*$G32*1000</f>
        <v>2.8600000000000008</v>
      </c>
    </row>
    <row r="33" spans="1:14" x14ac:dyDescent="0.2">
      <c r="A33" s="248" t="s">
        <v>11</v>
      </c>
      <c r="B33" s="122" t="str">
        <f>VLOOKUP($A33,NSN!$A:$B,2,FALSE)</f>
        <v>C002832</v>
      </c>
      <c r="C33" s="123" t="str">
        <f>VLOOKUP($A33,CODIGOS!$B:$E,4,FALSE)</f>
        <v>KG</v>
      </c>
      <c r="D33" s="124">
        <f t="shared" si="6"/>
        <v>8</v>
      </c>
      <c r="E33" s="124" t="str">
        <f>IF(VLOOKUP($B33,CODIGOS!$A:$F,6,0)&lt;&gt;1000,(($F33*$I$2)/VLOOKUP($B33,CODIGOS!$A:$F,6,0)),"")</f>
        <v/>
      </c>
      <c r="F33" s="511">
        <v>40</v>
      </c>
      <c r="G33" s="136">
        <f>(F33/1000)*VLOOKUP($B33,CODIGOS!$A:$G,7,0)</f>
        <v>0.04</v>
      </c>
      <c r="H33" s="24">
        <f>VLOOKUP($A33,CODIGOS!$B:$D,2,FALSE)</f>
        <v>1384</v>
      </c>
      <c r="I33" s="204">
        <f t="shared" si="4"/>
        <v>55.36</v>
      </c>
      <c r="J33" s="60">
        <f t="shared" si="8"/>
        <v>11072</v>
      </c>
      <c r="K33" s="132">
        <f>VLOOKUP($B33,CODIGOS!$A:$K,8,0)*$G33*1000</f>
        <v>140.80000000000001</v>
      </c>
      <c r="L33" s="132">
        <f>VLOOKUP($B33,CODIGOS!$A:$K,9,0)*$G33*1000</f>
        <v>2.56</v>
      </c>
      <c r="M33" s="132">
        <f>VLOOKUP($B33,CODIGOS!$A:$K,10,0)*$G33*1000</f>
        <v>0.32</v>
      </c>
      <c r="N33" s="133">
        <f>VLOOKUP($B33,CODIGOS!$A:$K,11,0)*$G33*1000</f>
        <v>31.880000000000006</v>
      </c>
    </row>
    <row r="34" spans="1:14" x14ac:dyDescent="0.2">
      <c r="A34" s="248" t="s">
        <v>2028</v>
      </c>
      <c r="B34" s="122" t="str">
        <f>VLOOKUP($A34,NSN!$A:$B,2,FALSE)</f>
        <v>C902636</v>
      </c>
      <c r="C34" s="123" t="str">
        <f>VLOOKUP($A34,CODIGOS!$B:$E,4,FALSE)</f>
        <v>900 ML</v>
      </c>
      <c r="D34" s="124">
        <f t="shared" si="6"/>
        <v>1</v>
      </c>
      <c r="E34" s="124">
        <f>IF(VLOOKUP($B34,CODIGOS!$A:$F,6,0)&lt;&gt;1000,(($F34*$I$2)/VLOOKUP($B34,CODIGOS!$A:$F,6,0)),"")</f>
        <v>1.1111111111111112</v>
      </c>
      <c r="F34" s="511">
        <v>5</v>
      </c>
      <c r="G34" s="136">
        <f>(F34/1000)*VLOOKUP($B34,CODIGOS!$A:$G,7,0)</f>
        <v>5.0000000000000001E-3</v>
      </c>
      <c r="H34" s="24">
        <f>VLOOKUP($A34,CODIGOS!$B:$D,2,FALSE)</f>
        <v>1500</v>
      </c>
      <c r="I34" s="204">
        <f t="shared" si="4"/>
        <v>8.3333333333333339</v>
      </c>
      <c r="J34" s="60">
        <f t="shared" si="8"/>
        <v>1666.6666666666667</v>
      </c>
      <c r="K34" s="132">
        <f>VLOOKUP($B34,CODIGOS!$A:$K,8,0)*$G34*1000</f>
        <v>44.2</v>
      </c>
      <c r="L34" s="132">
        <f>VLOOKUP($B34,CODIGOS!$A:$K,9,0)*$G34*1000</f>
        <v>0</v>
      </c>
      <c r="M34" s="132">
        <f>VLOOKUP($B34,CODIGOS!$A:$K,10,0)*$G34*1000</f>
        <v>5</v>
      </c>
      <c r="N34" s="133">
        <f>VLOOKUP($B34,CODIGOS!$A:$K,11,0)*$G34*1000</f>
        <v>0</v>
      </c>
    </row>
    <row r="35" spans="1:14" x14ac:dyDescent="0.2">
      <c r="A35" s="248" t="s">
        <v>653</v>
      </c>
      <c r="B35" s="122" t="str">
        <f>VLOOKUP($A35,NSN!$A:$B,2,FALSE)</f>
        <v>C000528</v>
      </c>
      <c r="C35" s="123" t="str">
        <f>VLOOKUP($A35,CODIGOS!$B:$E,4,FALSE)</f>
        <v>KG</v>
      </c>
      <c r="D35" s="124">
        <f t="shared" si="6"/>
        <v>0.1</v>
      </c>
      <c r="E35" s="124" t="str">
        <f>IF(VLOOKUP($B35,CODIGOS!$A:$F,6,0)&lt;&gt;1000,(($F35*$I$2)/VLOOKUP($B35,CODIGOS!$A:$F,6,0)),"")</f>
        <v/>
      </c>
      <c r="F35" s="511">
        <v>0.5</v>
      </c>
      <c r="G35" s="136">
        <f>(F35/1000)*VLOOKUP($B35,CODIGOS!$A:$G,7,0)</f>
        <v>5.0000000000000001E-4</v>
      </c>
      <c r="H35" s="24">
        <f>VLOOKUP($A35,CODIGOS!$B:$D,2,FALSE)</f>
        <v>375</v>
      </c>
      <c r="I35" s="204">
        <f t="shared" si="4"/>
        <v>0.1875</v>
      </c>
      <c r="J35" s="60">
        <f t="shared" ref="J35:J37" si="10">IF(H35="S/STOCK","",IF($E35="",$D35*$H35,$E35*$H35))</f>
        <v>37.5</v>
      </c>
      <c r="K35" s="132">
        <f>VLOOKUP($B35,CODIGOS!$A:$K,8,0)*$G35*1000</f>
        <v>0</v>
      </c>
      <c r="L35" s="132">
        <f>VLOOKUP($B35,CODIGOS!$A:$K,9,0)*$G35*1000</f>
        <v>0</v>
      </c>
      <c r="M35" s="132">
        <f>VLOOKUP($B35,CODIGOS!$A:$K,10,0)*$G35*1000</f>
        <v>0</v>
      </c>
      <c r="N35" s="133">
        <f>VLOOKUP($B35,CODIGOS!$A:$K,11,0)*$G35*1000</f>
        <v>0</v>
      </c>
    </row>
    <row r="36" spans="1:14" x14ac:dyDescent="0.2">
      <c r="A36" s="248" t="s">
        <v>624</v>
      </c>
      <c r="B36" s="122" t="str">
        <f>VLOOKUP($A36,NSN!$A:$B,2,FALSE)</f>
        <v>C000801</v>
      </c>
      <c r="C36" s="123" t="str">
        <f>VLOOKUP($A36,CODIGOS!$B:$E,4,FALSE)</f>
        <v>KG</v>
      </c>
      <c r="D36" s="124">
        <f t="shared" si="6"/>
        <v>26</v>
      </c>
      <c r="E36" s="124" t="str">
        <f>IF(VLOOKUP($B36,CODIGOS!$A:$F,6,0)&lt;&gt;1000,(($F36*$I$2)/VLOOKUP($B36,CODIGOS!$A:$F,6,0)),"")</f>
        <v/>
      </c>
      <c r="F36" s="511">
        <v>130</v>
      </c>
      <c r="G36" s="136">
        <f>(F36/1000)*VLOOKUP($B36,CODIGOS!$A:$G,7,0)</f>
        <v>0.10231000000000001</v>
      </c>
      <c r="H36" s="24">
        <f>VLOOKUP($A36,CODIGOS!$B:$D,2,FALSE)</f>
        <v>674</v>
      </c>
      <c r="I36" s="204">
        <f t="shared" si="4"/>
        <v>87.62</v>
      </c>
      <c r="J36" s="60">
        <f t="shared" si="10"/>
        <v>17524</v>
      </c>
      <c r="K36" s="132">
        <f>VLOOKUP($B36,CODIGOS!$A:$K,8,0)*$G36*1000</f>
        <v>81.848000000000013</v>
      </c>
      <c r="L36" s="132">
        <f>VLOOKUP($B36,CODIGOS!$A:$K,9,0)*$G36*1000</f>
        <v>3.1716100000000007</v>
      </c>
      <c r="M36" s="132">
        <f>VLOOKUP($B36,CODIGOS!$A:$K,10,0)*$G36*1000</f>
        <v>0.20462000000000002</v>
      </c>
      <c r="N36" s="133">
        <f>VLOOKUP($B36,CODIGOS!$A:$K,11,0)*$G36*1000</f>
        <v>16.881150000000005</v>
      </c>
    </row>
    <row r="37" spans="1:14" x14ac:dyDescent="0.2">
      <c r="A37" s="248" t="s">
        <v>2028</v>
      </c>
      <c r="B37" s="122" t="str">
        <f>VLOOKUP($A37,NSN!$A:$B,2,FALSE)</f>
        <v>C902636</v>
      </c>
      <c r="C37" s="123" t="str">
        <f>VLOOKUP($A37,CODIGOS!$B:$E,4,FALSE)</f>
        <v>900 ML</v>
      </c>
      <c r="D37" s="124">
        <f t="shared" si="6"/>
        <v>6</v>
      </c>
      <c r="E37" s="124">
        <f>IF(VLOOKUP($B37,CODIGOS!$A:$F,6,0)&lt;&gt;1000,(($F37*$I$2)/VLOOKUP($B37,CODIGOS!$A:$F,6,0)),"")</f>
        <v>6.666666666666667</v>
      </c>
      <c r="F37" s="511">
        <v>30</v>
      </c>
      <c r="G37" s="136">
        <f>(F37/1000)*VLOOKUP($B37,CODIGOS!$A:$G,7,0)</f>
        <v>0.03</v>
      </c>
      <c r="H37" s="24">
        <f>VLOOKUP($A37,CODIGOS!$B:$D,2,FALSE)</f>
        <v>1500</v>
      </c>
      <c r="I37" s="204">
        <f t="shared" si="4"/>
        <v>50</v>
      </c>
      <c r="J37" s="60">
        <f t="shared" si="10"/>
        <v>10000</v>
      </c>
      <c r="K37" s="132">
        <f>VLOOKUP($B37,CODIGOS!$A:$K,8,0)*$G37*1000</f>
        <v>265.2</v>
      </c>
      <c r="L37" s="132">
        <f>VLOOKUP($B37,CODIGOS!$A:$K,9,0)*$G37*1000</f>
        <v>0</v>
      </c>
      <c r="M37" s="132">
        <f>VLOOKUP($B37,CODIGOS!$A:$K,10,0)*$G37*1000</f>
        <v>30</v>
      </c>
      <c r="N37" s="133">
        <f>VLOOKUP($B37,CODIGOS!$A:$K,11,0)*$G37*1000</f>
        <v>0</v>
      </c>
    </row>
    <row r="38" spans="1:14" x14ac:dyDescent="0.2">
      <c r="A38" s="248" t="s">
        <v>653</v>
      </c>
      <c r="B38" s="122" t="str">
        <f>VLOOKUP($A38,NSN!$A:$B,2,FALSE)</f>
        <v>C000528</v>
      </c>
      <c r="C38" s="123" t="str">
        <f>VLOOKUP($A38,CODIGOS!$B:$E,4,FALSE)</f>
        <v>KG</v>
      </c>
      <c r="D38" s="124">
        <f t="shared" si="6"/>
        <v>0.1</v>
      </c>
      <c r="E38" s="124" t="str">
        <f>IF(VLOOKUP($B38,CODIGOS!$A:$F,6,0)&lt;&gt;1000,(($F38*$I$2)/VLOOKUP($B38,CODIGOS!$A:$F,6,0)),"")</f>
        <v/>
      </c>
      <c r="F38" s="511">
        <v>0.5</v>
      </c>
      <c r="G38" s="136">
        <f>(F38/1000)*VLOOKUP($B38,CODIGOS!$A:$G,7,0)</f>
        <v>5.0000000000000001E-4</v>
      </c>
      <c r="H38" s="24">
        <f>VLOOKUP($A38,CODIGOS!$B:$D,2,FALSE)</f>
        <v>375</v>
      </c>
      <c r="I38" s="204">
        <f t="shared" si="4"/>
        <v>0.1875</v>
      </c>
      <c r="J38" s="60">
        <f t="shared" si="8"/>
        <v>37.5</v>
      </c>
      <c r="K38" s="132">
        <f>VLOOKUP($B38,CODIGOS!$A:$K,8,0)*$G38*1000</f>
        <v>0</v>
      </c>
      <c r="L38" s="132">
        <f>VLOOKUP($B38,CODIGOS!$A:$K,9,0)*$G38*1000</f>
        <v>0</v>
      </c>
      <c r="M38" s="132">
        <f>VLOOKUP($B38,CODIGOS!$A:$K,10,0)*$G38*1000</f>
        <v>0</v>
      </c>
      <c r="N38" s="133">
        <f>VLOOKUP($B38,CODIGOS!$A:$K,11,0)*$G38*1000</f>
        <v>0</v>
      </c>
    </row>
    <row r="39" spans="1:14" ht="13.5" thickBot="1" x14ac:dyDescent="0.25">
      <c r="A39" s="248" t="s">
        <v>88</v>
      </c>
      <c r="B39" s="148" t="str">
        <f>VLOOKUP($A39,NSN!$A:$B,2,FALSE)</f>
        <v>V000193</v>
      </c>
      <c r="C39" s="149" t="str">
        <f>VLOOKUP($A39,CODIGOS!$B:$E,4,FALSE)</f>
        <v>KG</v>
      </c>
      <c r="D39" s="150">
        <f t="shared" si="6"/>
        <v>24</v>
      </c>
      <c r="E39" s="150" t="str">
        <f>IF(VLOOKUP($B39,CODIGOS!$A:$F,6,0)&lt;&gt;1000,(($F39*$I$2)/VLOOKUP($B39,CODIGOS!$A:$F,6,0)),"")</f>
        <v/>
      </c>
      <c r="F39" s="514">
        <v>120</v>
      </c>
      <c r="G39" s="137">
        <f>(F39/1000)*VLOOKUP($B39,CODIGOS!$A:$G,7,0)</f>
        <v>0.10271999999999999</v>
      </c>
      <c r="H39" s="222">
        <f>VLOOKUP($A39,CODIGOS!$B:$D,2,FALSE)</f>
        <v>1634</v>
      </c>
      <c r="I39" s="228">
        <f t="shared" si="4"/>
        <v>196.08</v>
      </c>
      <c r="J39" s="229">
        <f t="shared" si="8"/>
        <v>39216</v>
      </c>
      <c r="K39" s="230">
        <f>VLOOKUP($B39,CODIGOS!$A:$K,8,0)*$G39*1000</f>
        <v>57.523200000000003</v>
      </c>
      <c r="L39" s="230">
        <f>VLOOKUP($B39,CODIGOS!$A:$K,9,0)*$G39*1000</f>
        <v>0.30815999999999999</v>
      </c>
      <c r="M39" s="230">
        <f>VLOOKUP($B39,CODIGOS!$A:$K,10,0)*$G39*1000</f>
        <v>0.30815999999999999</v>
      </c>
      <c r="N39" s="231">
        <f>VLOOKUP($B39,CODIGOS!$A:$K,11,0)*$G39*1000</f>
        <v>14.894399999999999</v>
      </c>
    </row>
    <row r="40" spans="1:14" ht="13.5" thickBot="1" x14ac:dyDescent="0.25">
      <c r="A40" s="69" t="s">
        <v>627</v>
      </c>
      <c r="B40" s="33"/>
      <c r="C40" s="18"/>
      <c r="D40" s="138"/>
      <c r="E40" s="138"/>
      <c r="F40" s="139"/>
      <c r="G40" s="140"/>
      <c r="H40" s="41"/>
      <c r="I40" s="224">
        <f t="shared" ref="I40:N40" si="11">SUM(I20:I39)</f>
        <v>1209.7929047619048</v>
      </c>
      <c r="J40" s="225">
        <f t="shared" si="11"/>
        <v>241958.58095238096</v>
      </c>
      <c r="K40" s="226">
        <f t="shared" si="11"/>
        <v>983.92191500000001</v>
      </c>
      <c r="L40" s="226">
        <f t="shared" si="11"/>
        <v>28.705783499999999</v>
      </c>
      <c r="M40" s="226">
        <f t="shared" si="11"/>
        <v>46.823850999999998</v>
      </c>
      <c r="N40" s="227">
        <f t="shared" si="11"/>
        <v>114.72807550000003</v>
      </c>
    </row>
    <row r="41" spans="1:14" ht="13.5" thickBot="1" x14ac:dyDescent="0.25">
      <c r="A41" s="106" t="s">
        <v>23</v>
      </c>
      <c r="B41" s="107"/>
      <c r="C41" s="107"/>
      <c r="D41" s="112"/>
      <c r="E41" s="112"/>
      <c r="F41" s="117"/>
      <c r="G41" s="107"/>
      <c r="H41" s="107"/>
      <c r="I41" s="107"/>
      <c r="J41" s="107"/>
      <c r="K41" s="107"/>
      <c r="L41" s="107"/>
      <c r="M41" s="107"/>
      <c r="N41" s="108"/>
    </row>
    <row r="42" spans="1:14" x14ac:dyDescent="0.2">
      <c r="A42" s="248" t="s">
        <v>323</v>
      </c>
      <c r="B42" s="141" t="str">
        <f>VLOOKUP($A42,NSN!$A:$B,2,FALSE)</f>
        <v>C902857</v>
      </c>
      <c r="C42" s="142" t="str">
        <f>VLOOKUP($A42,CODIGOS!$B:$E,4,FALSE)</f>
        <v>KG</v>
      </c>
      <c r="D42" s="143">
        <f t="shared" ref="D42:D58" si="12">($F42*$I$3)/1000</f>
        <v>0.48</v>
      </c>
      <c r="E42" s="143" t="str">
        <f>IF(VLOOKUP($B42,CODIGOS!$A:$F,6,0)&lt;&gt;1000,(($F42*$I$3)/VLOOKUP($B42,CODIGOS!$A:$F,6,0)),"")</f>
        <v/>
      </c>
      <c r="F42" s="207">
        <v>6</v>
      </c>
      <c r="G42" s="144">
        <f>(F42/1000)*VLOOKUP($B42,CODIGOS!$A:$G,7,0)</f>
        <v>6.0000000000000001E-3</v>
      </c>
      <c r="H42" s="25">
        <f>VLOOKUP($A42,CODIGOS!$B:$D,2,FALSE)</f>
        <v>2941</v>
      </c>
      <c r="I42" s="59">
        <f>IF($H42="S/STOCK","",$J42/$I$3)</f>
        <v>17.645999999999997</v>
      </c>
      <c r="J42" s="59">
        <f t="shared" ref="J42:J58" si="13">IF(H42="S/STOCK","",IF($E42="",$D42*$H42,$E42*$H42))</f>
        <v>1411.6799999999998</v>
      </c>
      <c r="K42" s="129">
        <f>VLOOKUP($B42,CODIGOS!$A:$K,8,0)*$G42*1000</f>
        <v>21.54</v>
      </c>
      <c r="L42" s="129">
        <f>VLOOKUP($B42,CODIGOS!$A:$K,9,0)*$G42*1000</f>
        <v>0</v>
      </c>
      <c r="M42" s="129">
        <f>VLOOKUP($B42,CODIGOS!$A:$K,10,0)*$G42*1000</f>
        <v>0</v>
      </c>
      <c r="N42" s="130">
        <f>VLOOKUP($B42,CODIGOS!$A:$K,11,0)*$G42*1000</f>
        <v>5.3759999999999994</v>
      </c>
    </row>
    <row r="43" spans="1:14" x14ac:dyDescent="0.2">
      <c r="A43" s="248" t="s">
        <v>13</v>
      </c>
      <c r="B43" s="122" t="str">
        <f>VLOOKUP($A43,NSN!$A:$B,2,FALSE)</f>
        <v>V000415</v>
      </c>
      <c r="C43" s="123" t="str">
        <f>VLOOKUP($A43,CODIGOS!$B:$E,4,FALSE)</f>
        <v>KG</v>
      </c>
      <c r="D43" s="124">
        <f t="shared" si="12"/>
        <v>4</v>
      </c>
      <c r="E43" s="124" t="str">
        <f>IF(VLOOKUP($B43,CODIGOS!$A:$F,6,0)&lt;&gt;1000,(($F43*$I$3)/VLOOKUP($B43,CODIGOS!$A:$F,6,0)),"")</f>
        <v/>
      </c>
      <c r="F43" s="206">
        <v>50</v>
      </c>
      <c r="G43" s="125">
        <f>(F43/1000)*VLOOKUP($B43,CODIGOS!$A:$G,7,0)</f>
        <v>0.05</v>
      </c>
      <c r="H43" s="24">
        <f>VLOOKUP($A43,CODIGOS!$B:$D,2,FALSE)</f>
        <v>1783</v>
      </c>
      <c r="I43" s="24">
        <f t="shared" ref="I43:I58" si="14">IF($H43="S/STOCK","",$J43/$I$3)</f>
        <v>89.15</v>
      </c>
      <c r="J43" s="24">
        <f t="shared" si="13"/>
        <v>7132</v>
      </c>
      <c r="K43" s="132">
        <f>VLOOKUP($B43,CODIGOS!$A:$K,8,0)*$G43*1000</f>
        <v>157.5</v>
      </c>
      <c r="L43" s="132">
        <f>VLOOKUP($B43,CODIGOS!$A:$K,9,0)*$G43*1000</f>
        <v>4.0999999999999996</v>
      </c>
      <c r="M43" s="132">
        <f>VLOOKUP($B43,CODIGOS!$A:$K,10,0)*$G43*1000</f>
        <v>2</v>
      </c>
      <c r="N43" s="133">
        <f>VLOOKUP($B43,CODIGOS!$A:$K,11,0)*$G43*1000</f>
        <v>30.8</v>
      </c>
    </row>
    <row r="44" spans="1:14" x14ac:dyDescent="0.2">
      <c r="A44" s="248" t="s">
        <v>2296</v>
      </c>
      <c r="B44" s="122" t="str">
        <f>VLOOKUP($A44,NSN!$A:$B,2,FALSE)</f>
        <v>C903543</v>
      </c>
      <c r="C44" s="123" t="str">
        <f>VLOOKUP($A44,CODIGOS!$B:$E,4,FALSE)</f>
        <v>KG</v>
      </c>
      <c r="D44" s="145">
        <f t="shared" si="12"/>
        <v>1</v>
      </c>
      <c r="E44" s="145" t="str">
        <f>IF(VLOOKUP($B44,CODIGOS!$A:$F,6,0)&lt;&gt;1000,(($F44*$I$3)/VLOOKUP($B44,CODIGOS!$A:$F,6,0)),"")</f>
        <v/>
      </c>
      <c r="F44" s="512">
        <v>12.5</v>
      </c>
      <c r="G44" s="134">
        <f>(F44/1000)*VLOOKUP($B44,CODIGOS!$A:$G,7,0)</f>
        <v>1.2500000000000001E-2</v>
      </c>
      <c r="H44" s="24">
        <f>VLOOKUP($A44,CODIGOS!$B:$D,2,FALSE)</f>
        <v>3572</v>
      </c>
      <c r="I44" s="53">
        <f t="shared" si="14"/>
        <v>44.65</v>
      </c>
      <c r="J44" s="53">
        <f t="shared" si="13"/>
        <v>3572</v>
      </c>
      <c r="K44" s="132">
        <f>VLOOKUP($B44,CODIGOS!$A:$K,8,0)*$G44*1000</f>
        <v>39.125</v>
      </c>
      <c r="L44" s="132">
        <f>VLOOKUP($B44,CODIGOS!$A:$K,9,0)*$G44*1000</f>
        <v>0.83750000000000013</v>
      </c>
      <c r="M44" s="132">
        <f>VLOOKUP($B44,CODIGOS!$A:$K,10,0)*$G44*1000</f>
        <v>0.31250000000000006</v>
      </c>
      <c r="N44" s="133">
        <f>VLOOKUP($B44,CODIGOS!$A:$K,11,0)*$G44*1000</f>
        <v>8.25</v>
      </c>
    </row>
    <row r="45" spans="1:14" x14ac:dyDescent="0.2">
      <c r="A45" s="248" t="s">
        <v>2160</v>
      </c>
      <c r="B45" s="122" t="str">
        <f>VLOOKUP($A45,NSN!$A:$B,2,FALSE)</f>
        <v>C903468</v>
      </c>
      <c r="C45" s="123" t="str">
        <f>VLOOKUP($A45,CODIGOS!$B:$E,4,FALSE)</f>
        <v>KG</v>
      </c>
      <c r="D45" s="145">
        <f t="shared" si="12"/>
        <v>13.6</v>
      </c>
      <c r="E45" s="145" t="str">
        <f>IF(VLOOKUP($B45,CODIGOS!$A:$F,6,0)&lt;&gt;1000,(($F45*$I$3)/VLOOKUP($B45,CODIGOS!$A:$F,6,0)),"")</f>
        <v/>
      </c>
      <c r="F45" s="512">
        <v>170</v>
      </c>
      <c r="G45" s="134">
        <f>(F45/1000)*VLOOKUP($B45,CODIGOS!$A:$G,7,0)</f>
        <v>0.13549000000000003</v>
      </c>
      <c r="H45" s="24">
        <f>VLOOKUP($A45,CODIGOS!$B:$D,2,FALSE)</f>
        <v>4100</v>
      </c>
      <c r="I45" s="53">
        <f t="shared" si="14"/>
        <v>697</v>
      </c>
      <c r="J45" s="53">
        <f t="shared" ref="J45" si="15">IF(H45="S/STOCK","",IF($E45="",$D45*$H45,$E45*$H45))</f>
        <v>55760</v>
      </c>
      <c r="K45" s="132">
        <f>VLOOKUP($B45,CODIGOS!$A:$K,8,0)*$G45*1000</f>
        <v>178.84680000000006</v>
      </c>
      <c r="L45" s="132">
        <f>VLOOKUP($B45,CODIGOS!$A:$K,9,0)*$G45*1000</f>
        <v>28.723880000000005</v>
      </c>
      <c r="M45" s="132">
        <f>VLOOKUP($B45,CODIGOS!$A:$K,10,0)*$G45*1000</f>
        <v>5.9615600000000022</v>
      </c>
      <c r="N45" s="133">
        <f>VLOOKUP($B45,CODIGOS!$A:$K,11,0)*$G45*1000</f>
        <v>2.4388200000000007</v>
      </c>
    </row>
    <row r="46" spans="1:14" x14ac:dyDescent="0.2">
      <c r="A46" s="248" t="s">
        <v>56</v>
      </c>
      <c r="B46" s="122" t="str">
        <f>VLOOKUP($A46,NSN!$A:$B,2,FALSE)</f>
        <v>C000249</v>
      </c>
      <c r="C46" s="123" t="str">
        <f>VLOOKUP($A46,CODIGOS!$B:$E,4,FALSE)</f>
        <v>KG</v>
      </c>
      <c r="D46" s="146">
        <f t="shared" si="12"/>
        <v>2.4</v>
      </c>
      <c r="E46" s="146" t="str">
        <f>IF(VLOOKUP($B46,CODIGOS!$A:$F,6,0)&lt;&gt;1000,(($F46*$I$3)/VLOOKUP($B46,CODIGOS!$A:$F,6,0)),"")</f>
        <v/>
      </c>
      <c r="F46" s="512">
        <v>30</v>
      </c>
      <c r="G46" s="135">
        <f>(F46/1000)*VLOOKUP($B46,CODIGOS!$A:$G,7,0)</f>
        <v>2.673E-2</v>
      </c>
      <c r="H46" s="24">
        <f>VLOOKUP($A46,CODIGOS!$B:$D,2,FALSE)</f>
        <v>640</v>
      </c>
      <c r="I46" s="60">
        <f t="shared" si="14"/>
        <v>19.2</v>
      </c>
      <c r="J46" s="60">
        <f t="shared" si="13"/>
        <v>1536</v>
      </c>
      <c r="K46" s="132">
        <f>VLOOKUP($B46,CODIGOS!$A:$K,8,0)*$G46*1000</f>
        <v>11.4939</v>
      </c>
      <c r="L46" s="132">
        <f>VLOOKUP($B46,CODIGOS!$A:$K,9,0)*$G46*1000</f>
        <v>0.21384</v>
      </c>
      <c r="M46" s="132">
        <f>VLOOKUP($B46,CODIGOS!$A:$K,10,0)*$G46*1000</f>
        <v>5.3460000000000001E-2</v>
      </c>
      <c r="N46" s="133">
        <f>VLOOKUP($B46,CODIGOS!$A:$K,11,0)*$G46*1000</f>
        <v>2.5660799999999999</v>
      </c>
    </row>
    <row r="47" spans="1:14" x14ac:dyDescent="0.2">
      <c r="A47" s="248" t="s">
        <v>199</v>
      </c>
      <c r="B47" s="122" t="str">
        <f>VLOOKUP($A47,NSN!$A:$B,2,FALSE)</f>
        <v>V000330</v>
      </c>
      <c r="C47" s="123" t="str">
        <f>VLOOKUP($A47,CODIGOS!$B:$E,4,FALSE)</f>
        <v>KG</v>
      </c>
      <c r="D47" s="146">
        <f t="shared" si="12"/>
        <v>1.6</v>
      </c>
      <c r="E47" s="146" t="str">
        <f>IF(VLOOKUP($B47,CODIGOS!$A:$F,6,0)&lt;&gt;1000,(($F47*$I$3)/VLOOKUP($B47,CODIGOS!$A:$F,6,0)),"")</f>
        <v/>
      </c>
      <c r="F47" s="503">
        <v>20</v>
      </c>
      <c r="G47" s="135">
        <f>(F47/1000)*VLOOKUP($B47,CODIGOS!$A:$G,7,0)</f>
        <v>1.804E-2</v>
      </c>
      <c r="H47" s="24">
        <f>VLOOKUP($A47,CODIGOS!$B:$D,2,FALSE)</f>
        <v>1287</v>
      </c>
      <c r="I47" s="60">
        <f t="shared" si="14"/>
        <v>25.740000000000002</v>
      </c>
      <c r="J47" s="60">
        <f t="shared" si="13"/>
        <v>2059.2000000000003</v>
      </c>
      <c r="K47" s="132">
        <f>VLOOKUP($B47,CODIGOS!$A:$K,8,0)*$G47*1000</f>
        <v>15.5144</v>
      </c>
      <c r="L47" s="132">
        <f>VLOOKUP($B47,CODIGOS!$A:$K,9,0)*$G47*1000</f>
        <v>0.16236</v>
      </c>
      <c r="M47" s="132">
        <f>VLOOKUP($B47,CODIGOS!$A:$K,10,0)*$G47*1000</f>
        <v>9.0200000000000016E-2</v>
      </c>
      <c r="N47" s="133">
        <f>VLOOKUP($B47,CODIGOS!$A:$K,11,0)*$G47*1000</f>
        <v>1.4612400000000001</v>
      </c>
    </row>
    <row r="48" spans="1:14" x14ac:dyDescent="0.2">
      <c r="A48" s="248" t="s">
        <v>38</v>
      </c>
      <c r="B48" s="122" t="str">
        <f>VLOOKUP($A48,NSN!$A:$B,2,FALSE)</f>
        <v>V000214</v>
      </c>
      <c r="C48" s="123" t="str">
        <f>VLOOKUP($A48,CODIGOS!$B:$E,4,FALSE)</f>
        <v>KG</v>
      </c>
      <c r="D48" s="146">
        <f t="shared" si="12"/>
        <v>0.04</v>
      </c>
      <c r="E48" s="146" t="str">
        <f>IF(VLOOKUP($B48,CODIGOS!$A:$F,6,0)&lt;&gt;1000,(($F48*$I$3)/VLOOKUP($B48,CODIGOS!$A:$F,6,0)),"")</f>
        <v/>
      </c>
      <c r="F48" s="512">
        <v>0.5</v>
      </c>
      <c r="G48" s="135">
        <f>(F48/1000)*VLOOKUP($B48,CODIGOS!$A:$G,7,0)</f>
        <v>5.0000000000000001E-4</v>
      </c>
      <c r="H48" s="24">
        <f>VLOOKUP($A48,CODIGOS!$B:$D,2,FALSE)</f>
        <v>7058</v>
      </c>
      <c r="I48" s="60">
        <f t="shared" si="14"/>
        <v>3.5289999999999999</v>
      </c>
      <c r="J48" s="60">
        <f t="shared" si="13"/>
        <v>282.32</v>
      </c>
      <c r="K48" s="132">
        <f>VLOOKUP($B48,CODIGOS!$A:$K,8,0)*$G48*1000</f>
        <v>0.41</v>
      </c>
      <c r="L48" s="132">
        <f>VLOOKUP($B48,CODIGOS!$A:$K,9,0)*$G48*1000</f>
        <v>5.5000000000000005E-3</v>
      </c>
      <c r="M48" s="132">
        <f>VLOOKUP($B48,CODIGOS!$A:$K,10,0)*$G48*1000</f>
        <v>1.95E-2</v>
      </c>
      <c r="N48" s="133">
        <f>VLOOKUP($B48,CODIGOS!$A:$K,11,0)*$G48*1000</f>
        <v>5.3499999999999999E-2</v>
      </c>
    </row>
    <row r="49" spans="1:14" x14ac:dyDescent="0.2">
      <c r="A49" s="248" t="s">
        <v>84</v>
      </c>
      <c r="B49" s="122" t="str">
        <f>VLOOKUP($A49,NSN!$A:$B,2,FALSE)</f>
        <v>V000317</v>
      </c>
      <c r="C49" s="123" t="str">
        <f>VLOOKUP($A49,CODIGOS!$B:$E,4,FALSE)</f>
        <v>KG</v>
      </c>
      <c r="D49" s="146">
        <f t="shared" si="12"/>
        <v>2.4</v>
      </c>
      <c r="E49" s="146" t="str">
        <f>IF(VLOOKUP($B49,CODIGOS!$A:$F,6,0)&lt;&gt;1000,(($F49*$I$3)/VLOOKUP($B49,CODIGOS!$A:$F,6,0)),"")</f>
        <v/>
      </c>
      <c r="F49" s="512">
        <v>30</v>
      </c>
      <c r="G49" s="135">
        <f>(F49/1000)*VLOOKUP($B49,CODIGOS!$A:$G,7,0)</f>
        <v>2.8349999999999997E-2</v>
      </c>
      <c r="H49" s="24">
        <f>VLOOKUP($A49,CODIGOS!$B:$D,2,FALSE)</f>
        <v>1669</v>
      </c>
      <c r="I49" s="60">
        <f t="shared" si="14"/>
        <v>50.07</v>
      </c>
      <c r="J49" s="60">
        <f t="shared" si="13"/>
        <v>4005.6</v>
      </c>
      <c r="K49" s="132">
        <f>VLOOKUP($B49,CODIGOS!$A:$K,8,0)*$G49*1000</f>
        <v>5.67</v>
      </c>
      <c r="L49" s="132">
        <f>VLOOKUP($B49,CODIGOS!$A:$K,9,0)*$G49*1000</f>
        <v>0.22679999999999997</v>
      </c>
      <c r="M49" s="132">
        <f>VLOOKUP($B49,CODIGOS!$A:$K,10,0)*$G49*1000</f>
        <v>0.11339999999999999</v>
      </c>
      <c r="N49" s="133">
        <f>VLOOKUP($B49,CODIGOS!$A:$K,11,0)*$G49*1000</f>
        <v>0.9071999999999999</v>
      </c>
    </row>
    <row r="50" spans="1:14" x14ac:dyDescent="0.2">
      <c r="A50" s="248" t="s">
        <v>640</v>
      </c>
      <c r="B50" s="122" t="str">
        <f>VLOOKUP($A50,NSN!$A:$B,2,FALSE)</f>
        <v>C903242</v>
      </c>
      <c r="C50" s="123" t="str">
        <f>VLOOKUP($A50,CODIGOS!$B:$E,4,FALSE)</f>
        <v>KG</v>
      </c>
      <c r="D50" s="146">
        <f t="shared" si="12"/>
        <v>1.6</v>
      </c>
      <c r="E50" s="146" t="str">
        <f>IF(VLOOKUP($B50,CODIGOS!$A:$F,6,0)&lt;&gt;1000,(($F50*$I$3)/VLOOKUP($B50,CODIGOS!$A:$F,6,0)),"")</f>
        <v/>
      </c>
      <c r="F50" s="512">
        <v>20</v>
      </c>
      <c r="G50" s="135">
        <f>(F50/1000)*VLOOKUP($B50,CODIGOS!$A:$G,7,0)</f>
        <v>0.02</v>
      </c>
      <c r="H50" s="24">
        <f>VLOOKUP($A50,CODIGOS!$B:$D,2,FALSE)</f>
        <v>2690</v>
      </c>
      <c r="I50" s="60">
        <f t="shared" si="14"/>
        <v>53.8</v>
      </c>
      <c r="J50" s="60">
        <f t="shared" ref="J50:J52" si="16">IF(H50="S/STOCK","",IF($E50="",$D50*$H50,$E50*$H50))</f>
        <v>4304</v>
      </c>
      <c r="K50" s="132">
        <f>VLOOKUP($B50,CODIGOS!$A:$K,8,0)*$G50*1000</f>
        <v>16.399999999999999</v>
      </c>
      <c r="L50" s="132">
        <f>VLOOKUP($B50,CODIGOS!$A:$K,9,0)*$G50*1000</f>
        <v>0.54000000000000015</v>
      </c>
      <c r="M50" s="132">
        <f>VLOOKUP($B50,CODIGOS!$A:$K,10,0)*$G50*1000</f>
        <v>0.2</v>
      </c>
      <c r="N50" s="133">
        <f>VLOOKUP($B50,CODIGOS!$A:$K,11,0)*$G50*1000</f>
        <v>3.1</v>
      </c>
    </row>
    <row r="51" spans="1:14" x14ac:dyDescent="0.2">
      <c r="A51" s="248" t="s">
        <v>2028</v>
      </c>
      <c r="B51" s="122" t="str">
        <f>VLOOKUP($A51,NSN!$A:$B,2,FALSE)</f>
        <v>C902636</v>
      </c>
      <c r="C51" s="123" t="str">
        <f>VLOOKUP($A51,CODIGOS!$B:$E,4,FALSE)</f>
        <v>900 ML</v>
      </c>
      <c r="D51" s="146">
        <f t="shared" si="12"/>
        <v>0.4</v>
      </c>
      <c r="E51" s="146">
        <f>IF(VLOOKUP($B51,CODIGOS!$A:$F,6,0)&lt;&gt;1000,(($F51*$I$3)/VLOOKUP($B51,CODIGOS!$A:$F,6,0)),"")</f>
        <v>0.44444444444444442</v>
      </c>
      <c r="F51" s="503">
        <v>5</v>
      </c>
      <c r="G51" s="135">
        <f>(F51/1000)*VLOOKUP($B51,CODIGOS!$A:$G,7,0)</f>
        <v>5.0000000000000001E-3</v>
      </c>
      <c r="H51" s="24">
        <f>VLOOKUP($A51,CODIGOS!$B:$D,2,FALSE)</f>
        <v>1500</v>
      </c>
      <c r="I51" s="60">
        <f t="shared" si="14"/>
        <v>8.3333333333333321</v>
      </c>
      <c r="J51" s="60">
        <f t="shared" si="16"/>
        <v>666.66666666666663</v>
      </c>
      <c r="K51" s="132">
        <f>VLOOKUP($B51,CODIGOS!$A:$K,8,0)*$G51*1000</f>
        <v>44.2</v>
      </c>
      <c r="L51" s="132">
        <f>VLOOKUP($B51,CODIGOS!$A:$K,9,0)*$G51*1000</f>
        <v>0</v>
      </c>
      <c r="M51" s="132">
        <f>VLOOKUP($B51,CODIGOS!$A:$K,10,0)*$G51*1000</f>
        <v>5</v>
      </c>
      <c r="N51" s="133">
        <f>VLOOKUP($B51,CODIGOS!$A:$K,11,0)*$G51*1000</f>
        <v>0</v>
      </c>
    </row>
    <row r="52" spans="1:14" x14ac:dyDescent="0.2">
      <c r="A52" s="248" t="s">
        <v>653</v>
      </c>
      <c r="B52" s="122" t="str">
        <f>VLOOKUP($A52,NSN!$A:$B,2,FALSE)</f>
        <v>C000528</v>
      </c>
      <c r="C52" s="123" t="str">
        <f>VLOOKUP($A52,CODIGOS!$B:$E,4,FALSE)</f>
        <v>KG</v>
      </c>
      <c r="D52" s="146">
        <f t="shared" si="12"/>
        <v>0.04</v>
      </c>
      <c r="E52" s="146" t="str">
        <f>IF(VLOOKUP($B52,CODIGOS!$A:$F,6,0)&lt;&gt;1000,(($F52*$I$3)/VLOOKUP($B52,CODIGOS!$A:$F,6,0)),"")</f>
        <v/>
      </c>
      <c r="F52" s="512">
        <v>0.5</v>
      </c>
      <c r="G52" s="135">
        <f>(F52/1000)*VLOOKUP($B52,CODIGOS!$A:$G,7,0)</f>
        <v>5.0000000000000001E-4</v>
      </c>
      <c r="H52" s="24">
        <f>VLOOKUP($A52,CODIGOS!$B:$D,2,FALSE)</f>
        <v>375</v>
      </c>
      <c r="I52" s="60">
        <f t="shared" si="14"/>
        <v>0.1875</v>
      </c>
      <c r="J52" s="60">
        <f t="shared" si="16"/>
        <v>15</v>
      </c>
      <c r="K52" s="132">
        <f>VLOOKUP($B52,CODIGOS!$A:$K,8,0)*$G52*1000</f>
        <v>0</v>
      </c>
      <c r="L52" s="132">
        <f>VLOOKUP($B52,CODIGOS!$A:$K,9,0)*$G52*1000</f>
        <v>0</v>
      </c>
      <c r="M52" s="132">
        <f>VLOOKUP($B52,CODIGOS!$A:$K,10,0)*$G52*1000</f>
        <v>0</v>
      </c>
      <c r="N52" s="133">
        <f>VLOOKUP($B52,CODIGOS!$A:$K,11,0)*$G52*1000</f>
        <v>0</v>
      </c>
    </row>
    <row r="53" spans="1:14" x14ac:dyDescent="0.2">
      <c r="A53" s="248" t="s">
        <v>40</v>
      </c>
      <c r="B53" s="122" t="str">
        <f>VLOOKUP($A53,NSN!$A:$B,2,FALSE)</f>
        <v>C006637</v>
      </c>
      <c r="C53" s="123" t="str">
        <f>VLOOKUP($A53,CODIGOS!$B:$E,4,FALSE)</f>
        <v>KG</v>
      </c>
      <c r="D53" s="146">
        <f t="shared" si="12"/>
        <v>6.4</v>
      </c>
      <c r="E53" s="146" t="str">
        <f>IF(VLOOKUP($B53,CODIGOS!$A:$F,6,0)&lt;&gt;1000,(($F53*$I$3)/VLOOKUP($B53,CODIGOS!$A:$F,6,0)),"")</f>
        <v/>
      </c>
      <c r="F53" s="521">
        <v>80</v>
      </c>
      <c r="G53" s="125">
        <f>(F53/1000)*VLOOKUP($B53,CODIGOS!$A:$G,7,0)</f>
        <v>0.08</v>
      </c>
      <c r="H53" s="24">
        <f>VLOOKUP($A53,CODIGOS!$B:$D,2,FALSE)</f>
        <v>1383</v>
      </c>
      <c r="I53" s="53">
        <f t="shared" si="14"/>
        <v>110.64000000000001</v>
      </c>
      <c r="J53" s="53">
        <f t="shared" si="13"/>
        <v>8851.2000000000007</v>
      </c>
      <c r="K53" s="132">
        <f>VLOOKUP($B53,CODIGOS!$A:$K,8,0)*$G53*1000</f>
        <v>281.60000000000002</v>
      </c>
      <c r="L53" s="132">
        <f>VLOOKUP($B53,CODIGOS!$A:$K,9,0)*$G53*1000</f>
        <v>8.8800000000000008</v>
      </c>
      <c r="M53" s="132">
        <f>VLOOKUP($B53,CODIGOS!$A:$K,10,0)*$G53*1000</f>
        <v>0.32</v>
      </c>
      <c r="N53" s="133">
        <f>VLOOKUP($B53,CODIGOS!$A:$K,11,0)*$G53*1000</f>
        <v>61.279999999999994</v>
      </c>
    </row>
    <row r="54" spans="1:14" x14ac:dyDescent="0.2">
      <c r="A54" s="248" t="s">
        <v>368</v>
      </c>
      <c r="B54" s="122" t="str">
        <f>VLOOKUP($A54,NSN!$A:$B,2,FALSE)</f>
        <v>V000083</v>
      </c>
      <c r="C54" s="123" t="str">
        <f>VLOOKUP($A54,CODIGOS!$B:$E,4,FALSE)</f>
        <v>AT</v>
      </c>
      <c r="D54" s="146">
        <f t="shared" si="12"/>
        <v>0.16</v>
      </c>
      <c r="E54" s="146">
        <f>IF(VLOOKUP($B54,CODIGOS!$A:$F,6,0)&lt;&gt;1000,(($F54*$I$3)/VLOOKUP($B54,CODIGOS!$A:$F,6,0)),"")</f>
        <v>1.3333333333333333</v>
      </c>
      <c r="F54" s="503">
        <v>2</v>
      </c>
      <c r="G54" s="135">
        <f>(F54/1000)*VLOOKUP($B54,CODIGOS!$A:$G,7,0)</f>
        <v>1.7542E-3</v>
      </c>
      <c r="H54" s="24">
        <f>VLOOKUP($A54,CODIGOS!$B:$D,2,FALSE)</f>
        <v>1212</v>
      </c>
      <c r="I54" s="60">
        <f t="shared" si="14"/>
        <v>20.2</v>
      </c>
      <c r="J54" s="60">
        <f t="shared" si="13"/>
        <v>1616</v>
      </c>
      <c r="K54" s="132">
        <f>VLOOKUP($B54,CODIGOS!$A:$K,8,0)*$G54*1000</f>
        <v>1.034978</v>
      </c>
      <c r="L54" s="132">
        <f>VLOOKUP($B54,CODIGOS!$A:$K,9,0)*$G54*1000</f>
        <v>6.8413799999999997E-2</v>
      </c>
      <c r="M54" s="132">
        <f>VLOOKUP($B54,CODIGOS!$A:$K,10,0)*$G54*1000</f>
        <v>2.10504E-2</v>
      </c>
      <c r="N54" s="133">
        <f>VLOOKUP($B54,CODIGOS!$A:$K,11,0)*$G54*1000</f>
        <v>0.1420902</v>
      </c>
    </row>
    <row r="55" spans="1:14" x14ac:dyDescent="0.2">
      <c r="A55" s="248" t="s">
        <v>2028</v>
      </c>
      <c r="B55" s="122" t="str">
        <f>VLOOKUP($A55,NSN!$A:$B,2,FALSE)</f>
        <v>C902636</v>
      </c>
      <c r="C55" s="123" t="str">
        <f>VLOOKUP($A55,CODIGOS!$B:$E,4,FALSE)</f>
        <v>900 ML</v>
      </c>
      <c r="D55" s="146">
        <f t="shared" si="12"/>
        <v>0.4</v>
      </c>
      <c r="E55" s="146">
        <f>IF(VLOOKUP($B55,CODIGOS!$A:$F,6,0)&lt;&gt;1000,(($F55*$I$3)/VLOOKUP($B55,CODIGOS!$A:$F,6,0)),"")</f>
        <v>0.44444444444444442</v>
      </c>
      <c r="F55" s="512">
        <v>5</v>
      </c>
      <c r="G55" s="135">
        <f>(F55/1000)*VLOOKUP($B55,CODIGOS!$A:$G,7,0)</f>
        <v>5.0000000000000001E-3</v>
      </c>
      <c r="H55" s="24">
        <f>VLOOKUP($A55,CODIGOS!$B:$D,2,FALSE)</f>
        <v>1500</v>
      </c>
      <c r="I55" s="60">
        <f t="shared" si="14"/>
        <v>8.3333333333333321</v>
      </c>
      <c r="J55" s="60">
        <f t="shared" ref="J55:J57" si="17">IF(H55="S/STOCK","",IF($E55="",$D55*$H55,$E55*$H55))</f>
        <v>666.66666666666663</v>
      </c>
      <c r="K55" s="132">
        <f>VLOOKUP($B55,CODIGOS!$A:$K,8,0)*$G55*1000</f>
        <v>44.2</v>
      </c>
      <c r="L55" s="132">
        <f>VLOOKUP($B55,CODIGOS!$A:$K,9,0)*$G55*1000</f>
        <v>0</v>
      </c>
      <c r="M55" s="132">
        <f>VLOOKUP($B55,CODIGOS!$A:$K,10,0)*$G55*1000</f>
        <v>5</v>
      </c>
      <c r="N55" s="133">
        <f>VLOOKUP($B55,CODIGOS!$A:$K,11,0)*$G55*1000</f>
        <v>0</v>
      </c>
    </row>
    <row r="56" spans="1:14" x14ac:dyDescent="0.2">
      <c r="A56" s="248" t="s">
        <v>653</v>
      </c>
      <c r="B56" s="122" t="str">
        <f>VLOOKUP($A56,NSN!$A:$B,2,FALSE)</f>
        <v>C000528</v>
      </c>
      <c r="C56" s="123" t="str">
        <f>VLOOKUP($A56,CODIGOS!$B:$E,4,FALSE)</f>
        <v>KG</v>
      </c>
      <c r="D56" s="146">
        <f t="shared" si="12"/>
        <v>0.04</v>
      </c>
      <c r="E56" s="146" t="str">
        <f>IF(VLOOKUP($B56,CODIGOS!$A:$F,6,0)&lt;&gt;1000,(($F56*$I$3)/VLOOKUP($B56,CODIGOS!$A:$F,6,0)),"")</f>
        <v/>
      </c>
      <c r="F56" s="503">
        <v>0.5</v>
      </c>
      <c r="G56" s="135">
        <f>(F56/1000)*VLOOKUP($B56,CODIGOS!$A:$G,7,0)</f>
        <v>5.0000000000000001E-4</v>
      </c>
      <c r="H56" s="24">
        <f>VLOOKUP($A56,CODIGOS!$B:$D,2,FALSE)</f>
        <v>375</v>
      </c>
      <c r="I56" s="60">
        <f t="shared" si="14"/>
        <v>0.1875</v>
      </c>
      <c r="J56" s="60">
        <f t="shared" si="17"/>
        <v>15</v>
      </c>
      <c r="K56" s="132">
        <f>VLOOKUP($B56,CODIGOS!$A:$K,8,0)*$G56*1000</f>
        <v>0</v>
      </c>
      <c r="L56" s="132">
        <f>VLOOKUP($B56,CODIGOS!$A:$K,9,0)*$G56*1000</f>
        <v>0</v>
      </c>
      <c r="M56" s="132">
        <f>VLOOKUP($B56,CODIGOS!$A:$K,10,0)*$G56*1000</f>
        <v>0</v>
      </c>
      <c r="N56" s="133">
        <f>VLOOKUP($B56,CODIGOS!$A:$K,11,0)*$G56*1000</f>
        <v>0</v>
      </c>
    </row>
    <row r="57" spans="1:14" x14ac:dyDescent="0.2">
      <c r="A57" s="248" t="s">
        <v>412</v>
      </c>
      <c r="B57" s="122" t="str">
        <f>VLOOKUP($A57,NSN!$A:$B,2,FALSE)</f>
        <v>C903335</v>
      </c>
      <c r="C57" s="123" t="str">
        <f>VLOOKUP($A57,CODIGOS!$B:$E,4,FALSE)</f>
        <v>800 grs</v>
      </c>
      <c r="D57" s="146">
        <f t="shared" si="12"/>
        <v>0.8</v>
      </c>
      <c r="E57" s="146">
        <f>IF(VLOOKUP($B57,CODIGOS!$A:$F,6,0)&lt;&gt;1000,(($F57*$I$3)/VLOOKUP($B57,CODIGOS!$A:$F,6,0)),"")</f>
        <v>1</v>
      </c>
      <c r="F57" s="512">
        <v>10</v>
      </c>
      <c r="G57" s="135">
        <f>(F57/1000)*VLOOKUP($B57,CODIGOS!$A:$G,7,0)</f>
        <v>0.01</v>
      </c>
      <c r="H57" s="24">
        <f>VLOOKUP($A57,CODIGOS!$B:$D,2,FALSE)</f>
        <v>4975</v>
      </c>
      <c r="I57" s="60">
        <f t="shared" si="14"/>
        <v>62.1875</v>
      </c>
      <c r="J57" s="60">
        <f t="shared" si="17"/>
        <v>4975</v>
      </c>
      <c r="K57" s="132">
        <f>VLOOKUP($B57,CODIGOS!$A:$K,8,0)*$G57*1000</f>
        <v>35.299999999999997</v>
      </c>
      <c r="L57" s="132">
        <f>VLOOKUP($B57,CODIGOS!$A:$K,9,0)*$G57*1000</f>
        <v>4.0100000000000007</v>
      </c>
      <c r="M57" s="132">
        <f>VLOOKUP($B57,CODIGOS!$A:$K,10,0)*$G57*1000</f>
        <v>0.01</v>
      </c>
      <c r="N57" s="133">
        <f>VLOOKUP($B57,CODIGOS!$A:$K,11,0)*$G57*1000</f>
        <v>4.79</v>
      </c>
    </row>
    <row r="58" spans="1:14" ht="13.5" thickBot="1" x14ac:dyDescent="0.25">
      <c r="A58" s="248" t="s">
        <v>317</v>
      </c>
      <c r="B58" s="148" t="str">
        <f>VLOOKUP($A58,NSN!$A:$B,2,FALSE)</f>
        <v>C902854</v>
      </c>
      <c r="C58" s="149" t="str">
        <f>VLOOKUP($A58,CODIGOS!$B:$E,4,FALSE)</f>
        <v>KG</v>
      </c>
      <c r="D58" s="150">
        <f t="shared" si="12"/>
        <v>1.1200000000000001</v>
      </c>
      <c r="E58" s="150" t="str">
        <f>IF(VLOOKUP($B58,CODIGOS!$A:$F,6,0)&lt;&gt;1000,(($F58*$I$3)/VLOOKUP($B58,CODIGOS!$A:$F,6,0)),"")</f>
        <v/>
      </c>
      <c r="F58" s="516">
        <v>14</v>
      </c>
      <c r="G58" s="137">
        <f>(F58/1000)*VLOOKUP($B58,CODIGOS!$A:$G,7,0)</f>
        <v>1.4E-2</v>
      </c>
      <c r="H58" s="222">
        <f>VLOOKUP($A58,CODIGOS!$B:$D,2,FALSE)</f>
        <v>4054</v>
      </c>
      <c r="I58" s="222">
        <f t="shared" si="14"/>
        <v>56.756000000000007</v>
      </c>
      <c r="J58" s="222">
        <f t="shared" si="13"/>
        <v>4540.4800000000005</v>
      </c>
      <c r="K58" s="230">
        <f>VLOOKUP($B58,CODIGOS!$A:$K,8,0)*$G58*1000</f>
        <v>50.960000000000008</v>
      </c>
      <c r="L58" s="230">
        <f>VLOOKUP($B58,CODIGOS!$A:$K,9,0)*$G58*1000</f>
        <v>2.8840000000000003</v>
      </c>
      <c r="M58" s="230">
        <f>VLOOKUP($B58,CODIGOS!$A:$K,10,0)*$G58*1000</f>
        <v>0.16800000000000001</v>
      </c>
      <c r="N58" s="231">
        <f>VLOOKUP($B58,CODIGOS!$A:$K,11,0)*$G58*1000</f>
        <v>9.7160000000000011</v>
      </c>
    </row>
    <row r="59" spans="1:14" ht="13.5" thickBot="1" x14ac:dyDescent="0.25">
      <c r="A59" s="17" t="s">
        <v>627</v>
      </c>
      <c r="B59" s="17"/>
      <c r="C59" s="18"/>
      <c r="D59" s="126"/>
      <c r="E59" s="126"/>
      <c r="F59" s="127"/>
      <c r="G59" s="19"/>
      <c r="H59" s="26"/>
      <c r="I59" s="249">
        <f t="shared" ref="I59:N59" si="18">SUM(I42:I58)</f>
        <v>1267.6101666666668</v>
      </c>
      <c r="J59" s="250">
        <f t="shared" si="18"/>
        <v>101408.81333333334</v>
      </c>
      <c r="K59" s="251">
        <f t="shared" si="18"/>
        <v>903.79507800000022</v>
      </c>
      <c r="L59" s="251">
        <f t="shared" si="18"/>
        <v>50.652293800000002</v>
      </c>
      <c r="M59" s="251">
        <f t="shared" si="18"/>
        <v>19.269670400000003</v>
      </c>
      <c r="N59" s="252">
        <f t="shared" si="18"/>
        <v>130.88093019999999</v>
      </c>
    </row>
    <row r="60" spans="1:14" ht="13.5" thickBot="1" x14ac:dyDescent="0.25">
      <c r="A60" s="17" t="s">
        <v>627</v>
      </c>
      <c r="B60" s="17"/>
      <c r="C60" s="121"/>
      <c r="D60" s="126"/>
      <c r="E60" s="126"/>
      <c r="F60" s="127"/>
      <c r="G60" s="19"/>
      <c r="H60" s="26"/>
      <c r="I60" s="42"/>
      <c r="J60" s="42" t="s">
        <v>892</v>
      </c>
      <c r="K60" s="232">
        <f>K18+K40+K59</f>
        <v>2326.2419930000001</v>
      </c>
      <c r="L60" s="233">
        <f>L18+L40+L59</f>
        <v>95.817077299999994</v>
      </c>
      <c r="M60" s="233">
        <f>M18+M40+M59</f>
        <v>70.164521399999998</v>
      </c>
      <c r="N60" s="234">
        <f>N18+N40+N59</f>
        <v>328.75700570000004</v>
      </c>
    </row>
    <row r="61" spans="1:14" ht="13.5" thickBot="1" x14ac:dyDescent="0.25">
      <c r="A61" s="17" t="s">
        <v>627</v>
      </c>
      <c r="B61" s="17"/>
      <c r="C61" s="17"/>
      <c r="D61" s="126"/>
      <c r="E61" s="126"/>
      <c r="F61" s="127"/>
      <c r="G61" s="19"/>
      <c r="H61" s="19"/>
      <c r="I61" s="19"/>
      <c r="J61" s="22"/>
      <c r="K61" s="22"/>
    </row>
    <row r="62" spans="1:14" ht="26.25" thickBot="1" x14ac:dyDescent="0.25">
      <c r="A62" s="99" t="s">
        <v>17</v>
      </c>
      <c r="B62" s="100" t="s">
        <v>94</v>
      </c>
      <c r="C62" s="101" t="s">
        <v>18</v>
      </c>
      <c r="D62" s="101" t="s">
        <v>103</v>
      </c>
      <c r="E62" s="101" t="s">
        <v>895</v>
      </c>
      <c r="F62" s="101" t="s">
        <v>891</v>
      </c>
      <c r="G62" s="101" t="s">
        <v>91</v>
      </c>
      <c r="H62" s="101" t="s">
        <v>19</v>
      </c>
      <c r="I62" s="101" t="s">
        <v>45</v>
      </c>
      <c r="J62" s="102" t="s">
        <v>20</v>
      </c>
      <c r="K62" s="102" t="s">
        <v>43</v>
      </c>
      <c r="L62" s="103" t="s">
        <v>44</v>
      </c>
      <c r="M62" s="104" t="s">
        <v>207</v>
      </c>
      <c r="N62" s="105" t="s">
        <v>208</v>
      </c>
    </row>
    <row r="63" spans="1:14" ht="13.5" thickBot="1" x14ac:dyDescent="0.25">
      <c r="A63" s="106" t="s">
        <v>216</v>
      </c>
      <c r="B63" s="107"/>
      <c r="C63" s="107"/>
      <c r="D63" s="112"/>
      <c r="E63" s="112"/>
      <c r="F63" s="117"/>
      <c r="G63" s="107"/>
      <c r="H63" s="107"/>
      <c r="I63" s="107"/>
      <c r="J63" s="107"/>
      <c r="K63" s="107"/>
      <c r="L63" s="107"/>
      <c r="M63" s="107"/>
      <c r="N63" s="108"/>
    </row>
    <row r="64" spans="1:14" x14ac:dyDescent="0.2">
      <c r="A64" s="248" t="s">
        <v>410</v>
      </c>
      <c r="B64" s="141" t="str">
        <f>VLOOKUP($A64,NSN!$A:$B,2,FALSE)</f>
        <v>C000367</v>
      </c>
      <c r="C64" s="142" t="str">
        <f>VLOOKUP($A64,CODIGOS!$B:$E,4,FALSE)</f>
        <v>KG</v>
      </c>
      <c r="D64" s="143">
        <f>($F64*$I$3)/1000</f>
        <v>11.428800000000001</v>
      </c>
      <c r="E64" s="143" t="str">
        <f>IF(VLOOKUP($B64,CODIGOS!$A:$F,6,0)&lt;&gt;1000,(($F64*$I$3)/VLOOKUP($B64,CODIGOS!$A:$F,6,0)),"")</f>
        <v/>
      </c>
      <c r="F64" s="120">
        <v>142.86000000000001</v>
      </c>
      <c r="G64" s="144">
        <f>(F64/1000)*VLOOKUP($B64,CODIGOS!$A:$G,7,0)</f>
        <v>0.14286000000000001</v>
      </c>
      <c r="H64" s="25">
        <f>VLOOKUP($A64,CODIGOS!$B:$D,2,FALSE)</f>
        <v>794</v>
      </c>
      <c r="I64" s="25">
        <f>IF($H64="S/STOCK","",$J64/$I$3)</f>
        <v>113.43084000000002</v>
      </c>
      <c r="J64" s="25">
        <f>IF(H64="S/STOCK","",IF($E64="",$D64*$H64,$E64*$H64))</f>
        <v>9074.467200000001</v>
      </c>
      <c r="K64" s="129">
        <f>VLOOKUP($B64,CODIGOS!$A:$K,8,0)*$G64*1000</f>
        <v>497.15280000000007</v>
      </c>
      <c r="L64" s="129">
        <f>VLOOKUP($B64,CODIGOS!$A:$K,9,0)*$G64*1000</f>
        <v>11.428800000000001</v>
      </c>
      <c r="M64" s="129">
        <f>VLOOKUP($B64,CODIGOS!$A:$K,10,0)*$G64*1000</f>
        <v>1.7143200000000003</v>
      </c>
      <c r="N64" s="130">
        <f>VLOOKUP($B64,CODIGOS!$A:$K,11,0)*$G64*1000</f>
        <v>109.14504000000001</v>
      </c>
    </row>
    <row r="65" spans="1:14" x14ac:dyDescent="0.2">
      <c r="A65" s="248" t="s">
        <v>394</v>
      </c>
      <c r="B65" s="122" t="str">
        <f>VLOOKUP($A65,NSN!$A:$B,2,FALSE)</f>
        <v>C000816</v>
      </c>
      <c r="C65" s="123" t="str">
        <f>VLOOKUP($A65,CODIGOS!$B:$E,4,FALSE)</f>
        <v>KG</v>
      </c>
      <c r="D65" s="124">
        <f>($F65*$I$3)/1000</f>
        <v>0.11439999999999999</v>
      </c>
      <c r="E65" s="124" t="str">
        <f>IF(VLOOKUP($B65,CODIGOS!$A:$F,6,0)&lt;&gt;1000,(($F65*$I$3)/VLOOKUP($B65,CODIGOS!$A:$F,6,0)),"")</f>
        <v/>
      </c>
      <c r="F65" s="118">
        <v>1.43</v>
      </c>
      <c r="G65" s="125">
        <f>(F65/1000)*VLOOKUP($B65,CODIGOS!$A:$G,7,0)</f>
        <v>1.4299999999999998E-3</v>
      </c>
      <c r="H65" s="24">
        <f>VLOOKUP($A65,CODIGOS!$B:$D,2,FALSE)</f>
        <v>1128</v>
      </c>
      <c r="I65" s="24">
        <f>IF($H65="S/STOCK","",$J65/$I$3)</f>
        <v>1.6130399999999998</v>
      </c>
      <c r="J65" s="24">
        <f>IF(H65="S/STOCK","",IF($E65="",$D65*$H65,$E65*$H65))</f>
        <v>129.04319999999998</v>
      </c>
      <c r="K65" s="132">
        <f>VLOOKUP($B65,CODIGOS!$A:$K,8,0)*$G65*1000</f>
        <v>5.6913999999999989</v>
      </c>
      <c r="L65" s="132">
        <f>VLOOKUP($B65,CODIGOS!$A:$K,9,0)*$G65*1000</f>
        <v>0</v>
      </c>
      <c r="M65" s="132">
        <f>VLOOKUP($B65,CODIGOS!$A:$K,10,0)*$G65*1000</f>
        <v>0</v>
      </c>
      <c r="N65" s="133">
        <f>VLOOKUP($B65,CODIGOS!$A:$K,11,0)*$G65*1000</f>
        <v>1.4228499999999997</v>
      </c>
    </row>
    <row r="66" spans="1:14" x14ac:dyDescent="0.2">
      <c r="A66" s="248" t="s">
        <v>563</v>
      </c>
      <c r="B66" s="122" t="str">
        <f>VLOOKUP($A66,NSN!$A:$B,2,FALSE)</f>
        <v>V000518</v>
      </c>
      <c r="C66" s="123" t="str">
        <f>VLOOKUP($A66,CODIGOS!$B:$E,4,FALSE)</f>
        <v>EA</v>
      </c>
      <c r="D66" s="124">
        <f>($F66*$I$3)/1000</f>
        <v>0.68559999999999999</v>
      </c>
      <c r="E66" s="124" t="str">
        <f>IF(VLOOKUP($B66,CODIGOS!$A:$F,6,0)&lt;&gt;1000,(($F66*$I$3)/VLOOKUP($B66,CODIGOS!$A:$F,6,0)),"")</f>
        <v/>
      </c>
      <c r="F66" s="118">
        <v>8.57</v>
      </c>
      <c r="G66" s="125">
        <f>(F66/1000)*VLOOKUP($B66,CODIGOS!$A:$G,7,0)</f>
        <v>8.5699999999999995E-3</v>
      </c>
      <c r="H66" s="24">
        <f>VLOOKUP($A66,CODIGOS!$B:$D,2,FALSE)</f>
        <v>3203</v>
      </c>
      <c r="I66" s="24">
        <f>IF($H66="S/STOCK","",$J66/$I$3)</f>
        <v>27.44971</v>
      </c>
      <c r="J66" s="24">
        <f>IF(H66="S/STOCK","",IF($E66="",$D66*$H66,$E66*$H66))</f>
        <v>2195.9767999999999</v>
      </c>
      <c r="K66" s="132">
        <f>VLOOKUP($B66,CODIGOS!$A:$K,8,0)*$G66*1000</f>
        <v>76.872899999999987</v>
      </c>
      <c r="L66" s="132">
        <f>VLOOKUP($B66,CODIGOS!$A:$K,9,0)*$G66*1000</f>
        <v>0</v>
      </c>
      <c r="M66" s="132">
        <f>VLOOKUP($B66,CODIGOS!$A:$K,10,0)*$G66*1000</f>
        <v>8.5442900000000002</v>
      </c>
      <c r="N66" s="133">
        <f>VLOOKUP($B66,CODIGOS!$A:$K,11,0)*$G66*1000</f>
        <v>0</v>
      </c>
    </row>
    <row r="67" spans="1:14" x14ac:dyDescent="0.2">
      <c r="A67" s="248" t="s">
        <v>266</v>
      </c>
      <c r="B67" s="122" t="str">
        <f>VLOOKUP($A67,NSN!$A:$B,2,FALSE)</f>
        <v>V000174</v>
      </c>
      <c r="C67" s="123" t="str">
        <f>VLOOKUP($A67,CODIGOS!$B:$E,4,FALSE)</f>
        <v>KG</v>
      </c>
      <c r="D67" s="124">
        <f>($F67*$I$3)/1000</f>
        <v>0.11439999999999999</v>
      </c>
      <c r="E67" s="124" t="str">
        <f>IF(VLOOKUP($B67,CODIGOS!$A:$F,6,0)&lt;&gt;1000,(($F67*$I$3)/VLOOKUP($B67,CODIGOS!$A:$F,6,0)),"")</f>
        <v/>
      </c>
      <c r="F67" s="118">
        <v>1.43</v>
      </c>
      <c r="G67" s="125">
        <f>(F67/1000)*VLOOKUP($B67,CODIGOS!$A:$G,7,0)</f>
        <v>1.4299999999999998E-3</v>
      </c>
      <c r="H67" s="24">
        <f>VLOOKUP($A67,CODIGOS!$B:$D,2,FALSE)</f>
        <v>8887</v>
      </c>
      <c r="I67" s="24">
        <f>IF($H67="S/STOCK","",$J67/$I$3)</f>
        <v>12.708409999999999</v>
      </c>
      <c r="J67" s="24">
        <f>IF(H67="S/STOCK","",IF($E67="",$D67*$H67,$E67*$H67))</f>
        <v>1016.6727999999999</v>
      </c>
      <c r="K67" s="132">
        <f>VLOOKUP($B67,CODIGOS!$A:$K,8,0)*$G67*1000</f>
        <v>6.1489999999999991</v>
      </c>
      <c r="L67" s="132">
        <f>VLOOKUP($B67,CODIGOS!$A:$K,9,0)*$G67*1000</f>
        <v>0.67209999999999992</v>
      </c>
      <c r="M67" s="132">
        <f>VLOOKUP($B67,CODIGOS!$A:$K,10,0)*$G67*1000</f>
        <v>0.10009999999999999</v>
      </c>
      <c r="N67" s="133">
        <f>VLOOKUP($B67,CODIGOS!$A:$K,11,0)*$G67*1000</f>
        <v>0.51479999999999992</v>
      </c>
    </row>
    <row r="68" spans="1:14" ht="13.5" thickBot="1" x14ac:dyDescent="0.25">
      <c r="A68" s="248" t="s">
        <v>653</v>
      </c>
      <c r="B68" s="148" t="str">
        <f>VLOOKUP($A68,NSN!$A:$B,2,FALSE)</f>
        <v>C000528</v>
      </c>
      <c r="C68" s="149" t="str">
        <f>VLOOKUP($A68,CODIGOS!$B:$E,4,FALSE)</f>
        <v>KG</v>
      </c>
      <c r="D68" s="235">
        <f>($F68*$I$3)/1000</f>
        <v>0.16</v>
      </c>
      <c r="E68" s="235" t="str">
        <f>IF(VLOOKUP($B68,CODIGOS!$A:$F,6,0)&lt;&gt;1000,(($F68*$I$3)/VLOOKUP($B68,CODIGOS!$A:$F,6,0)),"")</f>
        <v/>
      </c>
      <c r="F68" s="236">
        <v>2</v>
      </c>
      <c r="G68" s="151">
        <f>(F68/1000)*VLOOKUP($B68,CODIGOS!$A:$G,7,0)</f>
        <v>2E-3</v>
      </c>
      <c r="H68" s="222">
        <f>VLOOKUP($A68,CODIGOS!$B:$D,2,FALSE)</f>
        <v>375</v>
      </c>
      <c r="I68" s="237">
        <f>IF($H68="S/STOCK","",$J68/$I$3)</f>
        <v>0.75</v>
      </c>
      <c r="J68" s="237">
        <f>IF(H68="S/STOCK","",IF($E68="",$D68*$H68,$E68*$H68))</f>
        <v>60</v>
      </c>
      <c r="K68" s="230">
        <f>VLOOKUP($B68,CODIGOS!$A:$K,8,0)*$G68*1000</f>
        <v>0</v>
      </c>
      <c r="L68" s="230">
        <f>VLOOKUP($B68,CODIGOS!$A:$K,9,0)*$G68*1000</f>
        <v>0</v>
      </c>
      <c r="M68" s="230">
        <f>VLOOKUP($B68,CODIGOS!$A:$K,10,0)*$G68*1000</f>
        <v>0</v>
      </c>
      <c r="N68" s="231">
        <f>VLOOKUP($B68,CODIGOS!$A:$K,11,0)*$G68*1000</f>
        <v>0</v>
      </c>
    </row>
    <row r="69" spans="1:14" ht="13.5" thickBot="1" x14ac:dyDescent="0.25">
      <c r="A69" s="40" t="s">
        <v>627</v>
      </c>
      <c r="B69" s="33"/>
      <c r="C69" s="18"/>
      <c r="D69" s="126"/>
      <c r="E69" s="126"/>
      <c r="F69" s="127"/>
      <c r="G69" s="19"/>
      <c r="H69" s="41"/>
      <c r="I69" s="224">
        <f t="shared" ref="I69:N69" si="19">SUM(I64:I68)</f>
        <v>155.952</v>
      </c>
      <c r="J69" s="225">
        <f t="shared" si="19"/>
        <v>12476.160000000002</v>
      </c>
      <c r="K69" s="226">
        <f t="shared" si="19"/>
        <v>585.86610000000007</v>
      </c>
      <c r="L69" s="226">
        <f t="shared" si="19"/>
        <v>12.100900000000001</v>
      </c>
      <c r="M69" s="226">
        <f t="shared" si="19"/>
        <v>10.35871</v>
      </c>
      <c r="N69" s="227">
        <f t="shared" si="19"/>
        <v>111.08269</v>
      </c>
    </row>
    <row r="70" spans="1:14" x14ac:dyDescent="0.2">
      <c r="A70" s="37" t="s">
        <v>627</v>
      </c>
      <c r="B70" s="33"/>
      <c r="C70" s="18"/>
      <c r="D70" s="126"/>
      <c r="E70" s="126"/>
      <c r="F70" s="127"/>
      <c r="G70" s="19"/>
      <c r="H70" s="41"/>
    </row>
    <row r="75" spans="1:14" x14ac:dyDescent="0.2">
      <c r="D75" s="155"/>
      <c r="E75" s="155"/>
      <c r="F75" s="156"/>
    </row>
    <row r="76" spans="1:14" x14ac:dyDescent="0.2">
      <c r="D76" s="155"/>
      <c r="E76" s="155"/>
      <c r="F76" s="156"/>
    </row>
  </sheetData>
  <sheetProtection insertRows="0" deleteRows="0"/>
  <mergeCells count="5">
    <mergeCell ref="A1:N1"/>
    <mergeCell ref="G7:G9"/>
    <mergeCell ref="Q10:T10"/>
    <mergeCell ref="G2:H2"/>
    <mergeCell ref="G3:H3"/>
  </mergeCells>
  <phoneticPr fontId="3" type="noConversion"/>
  <conditionalFormatting sqref="A12:A17 A20:A39 A42:A58">
    <cfRule type="expression" dxfId="567" priority="473" stopIfTrue="1">
      <formula>$H12="S/STOCK"</formula>
    </cfRule>
  </conditionalFormatting>
  <conditionalFormatting sqref="A64:A68">
    <cfRule type="expression" dxfId="566" priority="470" stopIfTrue="1">
      <formula>$H64="S/STOCK"</formula>
    </cfRule>
  </conditionalFormatting>
  <conditionalFormatting sqref="A49">
    <cfRule type="expression" dxfId="565" priority="459" stopIfTrue="1">
      <formula>$H49="S/STOCK"</formula>
    </cfRule>
  </conditionalFormatting>
  <conditionalFormatting sqref="A49">
    <cfRule type="expression" dxfId="564" priority="458" stopIfTrue="1">
      <formula>$H49="S/STOCK"</formula>
    </cfRule>
  </conditionalFormatting>
  <conditionalFormatting sqref="A49">
    <cfRule type="expression" dxfId="563" priority="457" stopIfTrue="1">
      <formula>$H49="S/STOCK"</formula>
    </cfRule>
  </conditionalFormatting>
  <conditionalFormatting sqref="A49">
    <cfRule type="expression" dxfId="562" priority="456" stopIfTrue="1">
      <formula>$H49="S/STOCK"</formula>
    </cfRule>
  </conditionalFormatting>
  <conditionalFormatting sqref="A54">
    <cfRule type="expression" dxfId="561" priority="455" stopIfTrue="1">
      <formula>$H54="S/STOCK"</formula>
    </cfRule>
  </conditionalFormatting>
  <conditionalFormatting sqref="A54">
    <cfRule type="expression" dxfId="560" priority="454" stopIfTrue="1">
      <formula>$H54="S/STOCK"</formula>
    </cfRule>
  </conditionalFormatting>
  <conditionalFormatting sqref="A54">
    <cfRule type="expression" dxfId="559" priority="453" stopIfTrue="1">
      <formula>$H54="S/STOCK"</formula>
    </cfRule>
  </conditionalFormatting>
  <conditionalFormatting sqref="A54">
    <cfRule type="expression" dxfId="558" priority="452" stopIfTrue="1">
      <formula>$H54="S/STOCK"</formula>
    </cfRule>
  </conditionalFormatting>
  <conditionalFormatting sqref="A54">
    <cfRule type="expression" dxfId="557" priority="447" stopIfTrue="1">
      <formula>$H54="S/STOCK"</formula>
    </cfRule>
  </conditionalFormatting>
  <conditionalFormatting sqref="A54">
    <cfRule type="expression" dxfId="556" priority="446" stopIfTrue="1">
      <formula>$H54="S/STOCK"</formula>
    </cfRule>
  </conditionalFormatting>
  <conditionalFormatting sqref="A54">
    <cfRule type="expression" dxfId="555" priority="445" stopIfTrue="1">
      <formula>$H54="S/STOCK"</formula>
    </cfRule>
  </conditionalFormatting>
  <conditionalFormatting sqref="A54">
    <cfRule type="expression" dxfId="554" priority="444" stopIfTrue="1">
      <formula>$H54="S/STOCK"</formula>
    </cfRule>
  </conditionalFormatting>
  <conditionalFormatting sqref="A54">
    <cfRule type="expression" dxfId="553" priority="443" stopIfTrue="1">
      <formula>$H54="S/STOCK"</formula>
    </cfRule>
  </conditionalFormatting>
  <conditionalFormatting sqref="A54">
    <cfRule type="expression" dxfId="552" priority="442" stopIfTrue="1">
      <formula>$H54="S/STOCK"</formula>
    </cfRule>
  </conditionalFormatting>
  <conditionalFormatting sqref="A54">
    <cfRule type="expression" dxfId="551" priority="441" stopIfTrue="1">
      <formula>$H54="S/STOCK"</formula>
    </cfRule>
  </conditionalFormatting>
  <conditionalFormatting sqref="A54">
    <cfRule type="expression" dxfId="550" priority="440" stopIfTrue="1">
      <formula>$H54="S/STOCK"</formula>
    </cfRule>
  </conditionalFormatting>
  <conditionalFormatting sqref="A48">
    <cfRule type="expression" dxfId="549" priority="415" stopIfTrue="1">
      <formula>$H48="S/STOCK"</formula>
    </cfRule>
  </conditionalFormatting>
  <conditionalFormatting sqref="A48">
    <cfRule type="expression" dxfId="548" priority="414" stopIfTrue="1">
      <formula>$H48="S/STOCK"</formula>
    </cfRule>
  </conditionalFormatting>
  <conditionalFormatting sqref="A48">
    <cfRule type="expression" dxfId="547" priority="413" stopIfTrue="1">
      <formula>$H48="S/STOCK"</formula>
    </cfRule>
  </conditionalFormatting>
  <conditionalFormatting sqref="A48">
    <cfRule type="expression" dxfId="546" priority="412" stopIfTrue="1">
      <formula>$H48="S/STOCK"</formula>
    </cfRule>
  </conditionalFormatting>
  <conditionalFormatting sqref="A53">
    <cfRule type="expression" dxfId="545" priority="401" stopIfTrue="1">
      <formula>$H53="S/STOCK"</formula>
    </cfRule>
  </conditionalFormatting>
  <conditionalFormatting sqref="A53">
    <cfRule type="expression" dxfId="544" priority="400" stopIfTrue="1">
      <formula>$H53="S/STOCK"</formula>
    </cfRule>
  </conditionalFormatting>
  <conditionalFormatting sqref="A53">
    <cfRule type="expression" dxfId="543" priority="399" stopIfTrue="1">
      <formula>$H53="S/STOCK"</formula>
    </cfRule>
  </conditionalFormatting>
  <conditionalFormatting sqref="A53">
    <cfRule type="expression" dxfId="542" priority="398" stopIfTrue="1">
      <formula>$H53="S/STOCK"</formula>
    </cfRule>
  </conditionalFormatting>
  <conditionalFormatting sqref="A53">
    <cfRule type="expression" dxfId="541" priority="397" stopIfTrue="1">
      <formula>$H53="S/STOCK"</formula>
    </cfRule>
  </conditionalFormatting>
  <conditionalFormatting sqref="A53">
    <cfRule type="expression" dxfId="540" priority="396" stopIfTrue="1">
      <formula>$H53="S/STOCK"</formula>
    </cfRule>
  </conditionalFormatting>
  <conditionalFormatting sqref="A53">
    <cfRule type="expression" dxfId="539" priority="395" stopIfTrue="1">
      <formula>$H53="S/STOCK"</formula>
    </cfRule>
  </conditionalFormatting>
  <conditionalFormatting sqref="A53">
    <cfRule type="expression" dxfId="538" priority="394" stopIfTrue="1">
      <formula>$H53="S/STOCK"</formula>
    </cfRule>
  </conditionalFormatting>
  <conditionalFormatting sqref="A54">
    <cfRule type="expression" dxfId="537" priority="361" stopIfTrue="1">
      <formula>$H54="S/STOCK"</formula>
    </cfRule>
  </conditionalFormatting>
  <conditionalFormatting sqref="A54">
    <cfRule type="expression" dxfId="536" priority="360" stopIfTrue="1">
      <formula>$H54="S/STOCK"</formula>
    </cfRule>
  </conditionalFormatting>
  <conditionalFormatting sqref="A54">
    <cfRule type="expression" dxfId="535" priority="359" stopIfTrue="1">
      <formula>$H54="S/STOCK"</formula>
    </cfRule>
  </conditionalFormatting>
  <conditionalFormatting sqref="A54">
    <cfRule type="expression" dxfId="534" priority="358" stopIfTrue="1">
      <formula>$H54="S/STOCK"</formula>
    </cfRule>
  </conditionalFormatting>
  <conditionalFormatting sqref="A54">
    <cfRule type="expression" dxfId="533" priority="357" stopIfTrue="1">
      <formula>$H54="S/STOCK"</formula>
    </cfRule>
  </conditionalFormatting>
  <conditionalFormatting sqref="A54">
    <cfRule type="expression" dxfId="532" priority="356" stopIfTrue="1">
      <formula>$H54="S/STOCK"</formula>
    </cfRule>
  </conditionalFormatting>
  <conditionalFormatting sqref="A54">
    <cfRule type="expression" dxfId="531" priority="355" stopIfTrue="1">
      <formula>$H54="S/STOCK"</formula>
    </cfRule>
  </conditionalFormatting>
  <conditionalFormatting sqref="A54">
    <cfRule type="expression" dxfId="530" priority="354" stopIfTrue="1">
      <formula>$H54="S/STOCK"</formula>
    </cfRule>
  </conditionalFormatting>
  <conditionalFormatting sqref="A28">
    <cfRule type="expression" dxfId="529" priority="281" stopIfTrue="1">
      <formula>$H28="S/STOCK"</formula>
    </cfRule>
  </conditionalFormatting>
  <conditionalFormatting sqref="A28">
    <cfRule type="expression" dxfId="528" priority="280" stopIfTrue="1">
      <formula>$H28="S/STOCK"</formula>
    </cfRule>
  </conditionalFormatting>
  <conditionalFormatting sqref="A28">
    <cfRule type="expression" dxfId="527" priority="279" stopIfTrue="1">
      <formula>$H28="S/STOCK"</formula>
    </cfRule>
  </conditionalFormatting>
  <conditionalFormatting sqref="A28">
    <cfRule type="expression" dxfId="526" priority="278" stopIfTrue="1">
      <formula>$H28="S/STOCK"</formula>
    </cfRule>
  </conditionalFormatting>
  <conditionalFormatting sqref="A28">
    <cfRule type="expression" dxfId="525" priority="277" stopIfTrue="1">
      <formula>$H28="S/STOCK"</formula>
    </cfRule>
  </conditionalFormatting>
  <conditionalFormatting sqref="A28">
    <cfRule type="expression" dxfId="524" priority="276" stopIfTrue="1">
      <formula>$H28="S/STOCK"</formula>
    </cfRule>
  </conditionalFormatting>
  <conditionalFormatting sqref="A28">
    <cfRule type="expression" dxfId="523" priority="275" stopIfTrue="1">
      <formula>$H28="S/STOCK"</formula>
    </cfRule>
  </conditionalFormatting>
  <conditionalFormatting sqref="A28">
    <cfRule type="expression" dxfId="522" priority="274" stopIfTrue="1">
      <formula>$H28="S/STOCK"</formula>
    </cfRule>
  </conditionalFormatting>
  <conditionalFormatting sqref="A30">
    <cfRule type="expression" dxfId="521" priority="257" stopIfTrue="1">
      <formula>$H30="S/STOCK"</formula>
    </cfRule>
  </conditionalFormatting>
  <conditionalFormatting sqref="A30">
    <cfRule type="expression" dxfId="520" priority="256" stopIfTrue="1">
      <formula>$H30="S/STOCK"</formula>
    </cfRule>
  </conditionalFormatting>
  <conditionalFormatting sqref="A30">
    <cfRule type="expression" dxfId="519" priority="255" stopIfTrue="1">
      <formula>$H30="S/STOCK"</formula>
    </cfRule>
  </conditionalFormatting>
  <conditionalFormatting sqref="A30">
    <cfRule type="expression" dxfId="518" priority="254" stopIfTrue="1">
      <formula>$H30="S/STOCK"</formula>
    </cfRule>
  </conditionalFormatting>
  <conditionalFormatting sqref="A30">
    <cfRule type="expression" dxfId="517" priority="253" stopIfTrue="1">
      <formula>$H30="S/STOCK"</formula>
    </cfRule>
  </conditionalFormatting>
  <conditionalFormatting sqref="A30">
    <cfRule type="expression" dxfId="516" priority="252" stopIfTrue="1">
      <formula>$H30="S/STOCK"</formula>
    </cfRule>
  </conditionalFormatting>
  <conditionalFormatting sqref="A30">
    <cfRule type="expression" dxfId="515" priority="251" stopIfTrue="1">
      <formula>$H30="S/STOCK"</formula>
    </cfRule>
  </conditionalFormatting>
  <conditionalFormatting sqref="A30">
    <cfRule type="expression" dxfId="514" priority="250" stopIfTrue="1">
      <formula>$H30="S/STOCK"</formula>
    </cfRule>
  </conditionalFormatting>
  <conditionalFormatting sqref="A57">
    <cfRule type="expression" dxfId="513" priority="153" stopIfTrue="1">
      <formula>$H57="S/STOCK"</formula>
    </cfRule>
  </conditionalFormatting>
  <conditionalFormatting sqref="A57">
    <cfRule type="expression" dxfId="512" priority="152" stopIfTrue="1">
      <formula>$H57="S/STOCK"</formula>
    </cfRule>
  </conditionalFormatting>
  <conditionalFormatting sqref="A57">
    <cfRule type="expression" dxfId="511" priority="151" stopIfTrue="1">
      <formula>$H57="S/STOCK"</formula>
    </cfRule>
  </conditionalFormatting>
  <conditionalFormatting sqref="A57">
    <cfRule type="expression" dxfId="510" priority="150" stopIfTrue="1">
      <formula>$H57="S/STOCK"</formula>
    </cfRule>
  </conditionalFormatting>
  <conditionalFormatting sqref="A38">
    <cfRule type="expression" dxfId="509" priority="116" stopIfTrue="1">
      <formula>$H38="S/STOCK"</formula>
    </cfRule>
  </conditionalFormatting>
  <conditionalFormatting sqref="A38">
    <cfRule type="expression" dxfId="508" priority="115" stopIfTrue="1">
      <formula>$H38="S/STOCK"</formula>
    </cfRule>
  </conditionalFormatting>
  <conditionalFormatting sqref="A38">
    <cfRule type="expression" dxfId="507" priority="114" stopIfTrue="1">
      <formula>$H38="S/STOCK"</formula>
    </cfRule>
  </conditionalFormatting>
  <conditionalFormatting sqref="A38">
    <cfRule type="expression" dxfId="506" priority="113" stopIfTrue="1">
      <formula>$H38="S/STOCK"</formula>
    </cfRule>
  </conditionalFormatting>
  <conditionalFormatting sqref="A38">
    <cfRule type="expression" dxfId="505" priority="112" stopIfTrue="1">
      <formula>$H38="S/STOCK"</formula>
    </cfRule>
  </conditionalFormatting>
  <conditionalFormatting sqref="A38">
    <cfRule type="expression" dxfId="504" priority="111" stopIfTrue="1">
      <formula>$H38="S/STOCK"</formula>
    </cfRule>
  </conditionalFormatting>
  <conditionalFormatting sqref="A38">
    <cfRule type="expression" dxfId="503" priority="110" stopIfTrue="1">
      <formula>$H38="S/STOCK"</formula>
    </cfRule>
  </conditionalFormatting>
  <conditionalFormatting sqref="A38">
    <cfRule type="expression" dxfId="502" priority="109" stopIfTrue="1">
      <formula>$H38="S/STOCK"</formula>
    </cfRule>
  </conditionalFormatting>
  <conditionalFormatting sqref="A33">
    <cfRule type="expression" dxfId="501" priority="72" stopIfTrue="1">
      <formula>$H33="S/STOCK"</formula>
    </cfRule>
  </conditionalFormatting>
  <conditionalFormatting sqref="A33">
    <cfRule type="expression" dxfId="500" priority="71" stopIfTrue="1">
      <formula>$H33="S/STOCK"</formula>
    </cfRule>
  </conditionalFormatting>
  <conditionalFormatting sqref="A33">
    <cfRule type="expression" dxfId="499" priority="70" stopIfTrue="1">
      <formula>$H33="S/STOCK"</formula>
    </cfRule>
  </conditionalFormatting>
  <conditionalFormatting sqref="A33">
    <cfRule type="expression" dxfId="498" priority="69" stopIfTrue="1">
      <formula>$H33="S/STOCK"</formula>
    </cfRule>
  </conditionalFormatting>
  <conditionalFormatting sqref="A34">
    <cfRule type="expression" dxfId="497" priority="36" stopIfTrue="1">
      <formula>$H34="S/STOCK"</formula>
    </cfRule>
  </conditionalFormatting>
  <conditionalFormatting sqref="A34">
    <cfRule type="expression" dxfId="496" priority="35" stopIfTrue="1">
      <formula>$H34="S/STOCK"</formula>
    </cfRule>
  </conditionalFormatting>
  <conditionalFormatting sqref="A34">
    <cfRule type="expression" dxfId="495" priority="34" stopIfTrue="1">
      <formula>$H34="S/STOCK"</formula>
    </cfRule>
  </conditionalFormatting>
  <conditionalFormatting sqref="A34">
    <cfRule type="expression" dxfId="494" priority="33" stopIfTrue="1">
      <formula>$H34="S/STOCK"</formula>
    </cfRule>
  </conditionalFormatting>
  <conditionalFormatting sqref="A34">
    <cfRule type="expression" dxfId="493" priority="32" stopIfTrue="1">
      <formula>$H34="S/STOCK"</formula>
    </cfRule>
  </conditionalFormatting>
  <conditionalFormatting sqref="A34">
    <cfRule type="expression" dxfId="492" priority="31" stopIfTrue="1">
      <formula>$H34="S/STOCK"</formula>
    </cfRule>
  </conditionalFormatting>
  <conditionalFormatting sqref="A34">
    <cfRule type="expression" dxfId="491" priority="30" stopIfTrue="1">
      <formula>$H34="S/STOCK"</formula>
    </cfRule>
  </conditionalFormatting>
  <conditionalFormatting sqref="A34">
    <cfRule type="expression" dxfId="490" priority="29" stopIfTrue="1">
      <formula>$H34="S/STOCK"</formula>
    </cfRule>
  </conditionalFormatting>
  <conditionalFormatting sqref="A36">
    <cfRule type="expression" dxfId="489" priority="28" stopIfTrue="1">
      <formula>$H36="S/STOCK"</formula>
    </cfRule>
  </conditionalFormatting>
  <conditionalFormatting sqref="A36">
    <cfRule type="expression" dxfId="488" priority="27" stopIfTrue="1">
      <formula>$H36="S/STOCK"</formula>
    </cfRule>
  </conditionalFormatting>
  <conditionalFormatting sqref="A36">
    <cfRule type="expression" dxfId="487" priority="26" stopIfTrue="1">
      <formula>$H36="S/STOCK"</formula>
    </cfRule>
  </conditionalFormatting>
  <conditionalFormatting sqref="A36">
    <cfRule type="expression" dxfId="486" priority="25" stopIfTrue="1">
      <formula>$H36="S/STOCK"</formula>
    </cfRule>
  </conditionalFormatting>
  <conditionalFormatting sqref="A36">
    <cfRule type="expression" dxfId="485" priority="24" stopIfTrue="1">
      <formula>$H36="S/STOCK"</formula>
    </cfRule>
  </conditionalFormatting>
  <conditionalFormatting sqref="A36">
    <cfRule type="expression" dxfId="484" priority="23" stopIfTrue="1">
      <formula>$H36="S/STOCK"</formula>
    </cfRule>
  </conditionalFormatting>
  <conditionalFormatting sqref="A36">
    <cfRule type="expression" dxfId="483" priority="22" stopIfTrue="1">
      <formula>$H36="S/STOCK"</formula>
    </cfRule>
  </conditionalFormatting>
  <conditionalFormatting sqref="A36">
    <cfRule type="expression" dxfId="482" priority="21" stopIfTrue="1">
      <formula>$H36="S/STOCK"</formula>
    </cfRule>
  </conditionalFormatting>
  <conditionalFormatting sqref="A37">
    <cfRule type="expression" dxfId="481" priority="20" stopIfTrue="1">
      <formula>$H37="S/STOCK"</formula>
    </cfRule>
  </conditionalFormatting>
  <conditionalFormatting sqref="A37">
    <cfRule type="expression" dxfId="480" priority="19" stopIfTrue="1">
      <formula>$H37="S/STOCK"</formula>
    </cfRule>
  </conditionalFormatting>
  <conditionalFormatting sqref="A37">
    <cfRule type="expression" dxfId="479" priority="18" stopIfTrue="1">
      <formula>$H37="S/STOCK"</formula>
    </cfRule>
  </conditionalFormatting>
  <conditionalFormatting sqref="A37">
    <cfRule type="expression" dxfId="478" priority="17" stopIfTrue="1">
      <formula>$H37="S/STOCK"</formula>
    </cfRule>
  </conditionalFormatting>
  <conditionalFormatting sqref="A32">
    <cfRule type="expression" dxfId="477" priority="16" stopIfTrue="1">
      <formula>$H32="S/STOCK"</formula>
    </cfRule>
  </conditionalFormatting>
  <conditionalFormatting sqref="A32">
    <cfRule type="expression" dxfId="476" priority="15" stopIfTrue="1">
      <formula>$H32="S/STOCK"</formula>
    </cfRule>
  </conditionalFormatting>
  <conditionalFormatting sqref="A32">
    <cfRule type="expression" dxfId="475" priority="14" stopIfTrue="1">
      <formula>$H32="S/STOCK"</formula>
    </cfRule>
  </conditionalFormatting>
  <conditionalFormatting sqref="A32">
    <cfRule type="expression" dxfId="474" priority="13" stopIfTrue="1">
      <formula>$H32="S/STOCK"</formula>
    </cfRule>
  </conditionalFormatting>
  <conditionalFormatting sqref="A32">
    <cfRule type="expression" dxfId="473" priority="12" stopIfTrue="1">
      <formula>$H32="S/STOCK"</formula>
    </cfRule>
  </conditionalFormatting>
  <conditionalFormatting sqref="A32">
    <cfRule type="expression" dxfId="472" priority="11" stopIfTrue="1">
      <formula>$H32="S/STOCK"</formula>
    </cfRule>
  </conditionalFormatting>
  <conditionalFormatting sqref="A32">
    <cfRule type="expression" dxfId="471" priority="10" stopIfTrue="1">
      <formula>$H32="S/STOCK"</formula>
    </cfRule>
  </conditionalFormatting>
  <conditionalFormatting sqref="A32">
    <cfRule type="expression" dxfId="470" priority="9" stopIfTrue="1">
      <formula>$H32="S/STOCK"</formula>
    </cfRule>
  </conditionalFormatting>
  <conditionalFormatting sqref="A52">
    <cfRule type="expression" dxfId="469" priority="8" stopIfTrue="1">
      <formula>$H52="S/STOCK"</formula>
    </cfRule>
  </conditionalFormatting>
  <conditionalFormatting sqref="A52">
    <cfRule type="expression" dxfId="468" priority="7" stopIfTrue="1">
      <formula>$H52="S/STOCK"</formula>
    </cfRule>
  </conditionalFormatting>
  <conditionalFormatting sqref="A52">
    <cfRule type="expression" dxfId="467" priority="6" stopIfTrue="1">
      <formula>$H52="S/STOCK"</formula>
    </cfRule>
  </conditionalFormatting>
  <conditionalFormatting sqref="A52">
    <cfRule type="expression" dxfId="466" priority="5" stopIfTrue="1">
      <formula>$H52="S/STOCK"</formula>
    </cfRule>
  </conditionalFormatting>
  <conditionalFormatting sqref="A50">
    <cfRule type="expression" dxfId="465" priority="4" stopIfTrue="1">
      <formula>$H50="S/STOCK"</formula>
    </cfRule>
  </conditionalFormatting>
  <conditionalFormatting sqref="A50">
    <cfRule type="expression" dxfId="464" priority="3" stopIfTrue="1">
      <formula>$H50="S/STOCK"</formula>
    </cfRule>
  </conditionalFormatting>
  <conditionalFormatting sqref="A50">
    <cfRule type="expression" dxfId="463" priority="2" stopIfTrue="1">
      <formula>$H50="S/STOCK"</formula>
    </cfRule>
  </conditionalFormatting>
  <conditionalFormatting sqref="A50">
    <cfRule type="expression" dxfId="462" priority="1" stopIfTrue="1">
      <formula>$H50="S/STOCK"</formula>
    </cfRule>
  </conditionalFormatting>
  <dataValidations count="1">
    <dataValidation type="list" allowBlank="1" showInputMessage="1" showErrorMessage="1" sqref="A64:A68 A42:A58 A20:A39 A12:A17">
      <formula1>INGREDIENTES</formula1>
    </dataValidation>
  </dataValidations>
  <pageMargins left="0.25" right="0.25" top="0.75" bottom="0.75" header="0.3" footer="0.3"/>
  <pageSetup scale="40" firstPageNumber="0" orientation="portrait" r:id="rId1"/>
  <headerFooter alignWithMargins="0"/>
  <rowBreaks count="1" manualBreakCount="1">
    <brk id="69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124"/>
  <sheetViews>
    <sheetView showGridLines="0" zoomScale="85" zoomScaleNormal="85" zoomScaleSheetLayoutView="90" workbookViewId="0">
      <selection sqref="A1:N1"/>
    </sheetView>
  </sheetViews>
  <sheetFormatPr baseColWidth="10" defaultColWidth="11.42578125" defaultRowHeight="12.75" x14ac:dyDescent="0.2"/>
  <cols>
    <col min="1" max="1" width="41.42578125" style="43" customWidth="1"/>
    <col min="2" max="3" width="14.7109375" style="43" customWidth="1"/>
    <col min="4" max="10" width="14.7109375" style="44" customWidth="1"/>
    <col min="11" max="11" width="14.7109375" style="32" customWidth="1"/>
    <col min="12" max="14" width="14.7109375" style="43" customWidth="1"/>
    <col min="15" max="15" width="6" style="43" customWidth="1"/>
    <col min="16" max="16" width="13.42578125" style="43" customWidth="1"/>
    <col min="17" max="17" width="24.28515625" style="43" bestFit="1" customWidth="1"/>
    <col min="18" max="18" width="13.42578125" style="43" bestFit="1" customWidth="1"/>
    <col min="19" max="19" width="12.140625" style="43" bestFit="1" customWidth="1"/>
    <col min="20" max="20" width="14.140625" style="43" customWidth="1"/>
    <col min="21" max="21" width="13.42578125" style="43" bestFit="1" customWidth="1"/>
    <col min="22" max="22" width="12.85546875" style="43" customWidth="1"/>
    <col min="23" max="23" width="13" style="43" customWidth="1"/>
    <col min="24" max="16384" width="11.42578125" style="43"/>
  </cols>
  <sheetData>
    <row r="1" spans="1:155" ht="20.25" customHeight="1" thickBot="1" x14ac:dyDescent="0.25">
      <c r="A1" s="586" t="s">
        <v>3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157"/>
    </row>
    <row r="2" spans="1:155" ht="39" customHeight="1" x14ac:dyDescent="0.2">
      <c r="A2" s="55" t="s">
        <v>42</v>
      </c>
      <c r="B2" s="284" t="str">
        <f>'MENU COMÚN'!B6</f>
        <v>LECHE-TÉ- CAFÉ</v>
      </c>
      <c r="C2" s="284"/>
      <c r="D2" s="281" t="str">
        <f>'MENU COMÚN'!B7</f>
        <v xml:space="preserve">PAN (100 GR) C/PASTA POLLO  </v>
      </c>
      <c r="E2" s="281"/>
      <c r="F2" s="22"/>
      <c r="G2" s="592" t="s">
        <v>386</v>
      </c>
      <c r="H2" s="593"/>
      <c r="I2" s="218">
        <f>LUNES!$I$2</f>
        <v>200</v>
      </c>
      <c r="Q2" s="23"/>
      <c r="R2" s="27"/>
      <c r="S2" s="17"/>
      <c r="T2" s="17"/>
      <c r="U2" s="17"/>
      <c r="V2" s="17"/>
      <c r="W2" s="17"/>
      <c r="X2" s="17"/>
    </row>
    <row r="3" spans="1:155" ht="12.75" customHeight="1" thickBot="1" x14ac:dyDescent="0.25">
      <c r="A3" s="55" t="s">
        <v>21</v>
      </c>
      <c r="B3" s="37" t="str">
        <f>'MENU COMÚN'!B9</f>
        <v>ENS.TOMATE/PEPINO</v>
      </c>
      <c r="C3" s="37"/>
      <c r="D3" s="39"/>
      <c r="E3" s="39"/>
      <c r="F3" s="39"/>
      <c r="G3" s="594" t="s">
        <v>134</v>
      </c>
      <c r="H3" s="595"/>
      <c r="I3" s="219">
        <f>LUNES!$I$3</f>
        <v>80</v>
      </c>
    </row>
    <row r="4" spans="1:155" ht="12.75" customHeight="1" x14ac:dyDescent="0.2">
      <c r="A4" s="55"/>
      <c r="B4" s="267" t="str">
        <f>'MENU COMÚN'!B13</f>
        <v>1° SEMANA:POROTOS CON RIENDAS                                                                                                                                                                                                                                                   2° SEMANA:   LENTEJAS PARMESANAS                                                                                                                                                                                                                                                         3° SEMANA: MENESTRÓN  O POROTOS NEGROS GUISADOS                                                                                                                                                                                                                                                         4° SEMANA: GARBANZOS GUISADOS</v>
      </c>
      <c r="C4" s="267"/>
      <c r="D4" s="268"/>
      <c r="E4" s="39"/>
      <c r="F4" s="39"/>
      <c r="G4" s="39"/>
      <c r="H4" s="26"/>
      <c r="I4" s="26"/>
      <c r="J4" s="57"/>
    </row>
    <row r="5" spans="1:155" ht="12.75" customHeight="1" x14ac:dyDescent="0.2">
      <c r="A5" s="58"/>
      <c r="B5" s="267" t="str">
        <f>'MENU COMÚN'!B14</f>
        <v>FLAN DE VAINILLA</v>
      </c>
      <c r="C5" s="37"/>
      <c r="D5" s="39"/>
      <c r="E5" s="39"/>
      <c r="F5" s="39"/>
      <c r="G5" s="39"/>
      <c r="J5" s="61"/>
      <c r="Q5" s="32"/>
      <c r="R5" s="189"/>
    </row>
    <row r="6" spans="1:155" ht="12.75" customHeight="1" x14ac:dyDescent="0.2">
      <c r="A6" s="58"/>
      <c r="C6" s="37"/>
      <c r="D6" s="39"/>
      <c r="E6" s="39"/>
      <c r="F6" s="39"/>
      <c r="G6" s="39"/>
      <c r="J6" s="61"/>
      <c r="Q6" s="169" t="s">
        <v>893</v>
      </c>
      <c r="R6" s="188"/>
    </row>
    <row r="7" spans="1:155" ht="25.5" x14ac:dyDescent="0.2">
      <c r="A7" s="55" t="s">
        <v>23</v>
      </c>
      <c r="B7" s="37" t="str">
        <f>'MENU COMÚN'!B17</f>
        <v>ENS.LECHUGA/BETARRAGA</v>
      </c>
      <c r="C7" s="37"/>
      <c r="D7" s="39"/>
      <c r="E7" s="39"/>
      <c r="F7" s="39"/>
      <c r="G7" s="39"/>
      <c r="J7" s="61"/>
      <c r="Q7" s="199">
        <v>0</v>
      </c>
      <c r="R7" s="168" t="s">
        <v>127</v>
      </c>
      <c r="S7" s="168" t="s">
        <v>128</v>
      </c>
      <c r="T7" s="169" t="s">
        <v>129</v>
      </c>
      <c r="U7" s="168" t="s">
        <v>130</v>
      </c>
      <c r="V7" s="168" t="s">
        <v>131</v>
      </c>
      <c r="W7" s="168" t="s">
        <v>132</v>
      </c>
      <c r="X7" s="168" t="s">
        <v>133</v>
      </c>
    </row>
    <row r="8" spans="1:155" ht="12.75" customHeight="1" x14ac:dyDescent="0.2">
      <c r="B8" s="267" t="str">
        <f>'MENU COMÚN'!B21</f>
        <v>CARBONADA DE VACUNO</v>
      </c>
      <c r="C8" s="267"/>
      <c r="D8" s="268"/>
      <c r="E8" s="268"/>
      <c r="F8" s="268"/>
      <c r="G8" s="268"/>
      <c r="J8" s="61"/>
      <c r="P8" s="197">
        <f>LUNES!P8</f>
        <v>2065</v>
      </c>
      <c r="Q8" s="162" t="s">
        <v>388</v>
      </c>
      <c r="R8" s="158">
        <f>I38</f>
        <v>742.5314166666667</v>
      </c>
      <c r="S8" s="158">
        <f>+$P$8+($P$8*$Q$7)</f>
        <v>2065</v>
      </c>
      <c r="T8" s="159">
        <f>+$I$2-$I$3</f>
        <v>120</v>
      </c>
      <c r="U8" s="158">
        <f>$R$8*$T$8</f>
        <v>89103.77</v>
      </c>
      <c r="V8" s="158">
        <f>$S$8*$T$8</f>
        <v>247800</v>
      </c>
      <c r="W8" s="158">
        <f>$V$8-$U$8</f>
        <v>158696.22999999998</v>
      </c>
      <c r="X8" s="160">
        <f>$W$8/$V$8</f>
        <v>0.64042062146892653</v>
      </c>
    </row>
    <row r="9" spans="1:155" ht="12.75" customHeight="1" thickBot="1" x14ac:dyDescent="0.25">
      <c r="B9" s="267" t="str">
        <f>'MENU COMÚN'!B22</f>
        <v>JALEA NARANJA</v>
      </c>
      <c r="C9" s="37"/>
      <c r="D9" s="39"/>
      <c r="E9" s="39"/>
      <c r="F9" s="39"/>
      <c r="G9" s="39"/>
      <c r="J9" s="61"/>
      <c r="P9" s="197">
        <v>2429</v>
      </c>
      <c r="Q9" s="162" t="s">
        <v>134</v>
      </c>
      <c r="R9" s="158">
        <f>I20+I38+I58</f>
        <v>3075.3318525641025</v>
      </c>
      <c r="S9" s="158">
        <f>+$P$9+($P$9*$Q$7)</f>
        <v>2429</v>
      </c>
      <c r="T9" s="167">
        <f>+$I$3</f>
        <v>80</v>
      </c>
      <c r="U9" s="158">
        <f>$R$9*$T$9</f>
        <v>246026.5482051282</v>
      </c>
      <c r="V9" s="158">
        <f>$S$9*$T$9</f>
        <v>194320</v>
      </c>
      <c r="W9" s="161">
        <f>$V$9-$U$9</f>
        <v>-51706.548205128202</v>
      </c>
      <c r="X9" s="160">
        <f>$W$9/$V$9</f>
        <v>-0.26608968816965933</v>
      </c>
    </row>
    <row r="10" spans="1:155" s="17" customFormat="1" ht="26.25" thickBot="1" x14ac:dyDescent="0.25">
      <c r="A10" s="99" t="s">
        <v>17</v>
      </c>
      <c r="B10" s="100" t="s">
        <v>94</v>
      </c>
      <c r="C10" s="101" t="s">
        <v>18</v>
      </c>
      <c r="D10" s="101" t="s">
        <v>103</v>
      </c>
      <c r="E10" s="101"/>
      <c r="F10" s="101" t="s">
        <v>891</v>
      </c>
      <c r="G10" s="101" t="s">
        <v>91</v>
      </c>
      <c r="H10" s="101" t="s">
        <v>19</v>
      </c>
      <c r="I10" s="101" t="s">
        <v>45</v>
      </c>
      <c r="J10" s="102" t="s">
        <v>20</v>
      </c>
      <c r="K10" s="102" t="s">
        <v>43</v>
      </c>
      <c r="L10" s="103" t="s">
        <v>44</v>
      </c>
      <c r="M10" s="104" t="s">
        <v>207</v>
      </c>
      <c r="N10" s="105" t="s">
        <v>208</v>
      </c>
      <c r="O10" s="193"/>
      <c r="Q10" s="589" t="s">
        <v>29</v>
      </c>
      <c r="R10" s="590"/>
      <c r="S10" s="590"/>
      <c r="T10" s="591"/>
      <c r="U10" s="163">
        <f>SUM(U8:U9)</f>
        <v>335130.31820512819</v>
      </c>
      <c r="V10" s="163">
        <f>SUM(V8:V9)</f>
        <v>442120</v>
      </c>
      <c r="W10" s="164">
        <f>V10-U10</f>
        <v>106989.68179487181</v>
      </c>
      <c r="X10" s="165">
        <f>W10/V10</f>
        <v>0.24199240431301866</v>
      </c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</row>
    <row r="11" spans="1:155" s="17" customFormat="1" ht="13.5" customHeight="1" thickBot="1" x14ac:dyDescent="0.25">
      <c r="A11" s="106" t="s">
        <v>42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8"/>
      <c r="O11" s="32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</row>
    <row r="12" spans="1:155" s="17" customFormat="1" ht="13.5" customHeight="1" x14ac:dyDescent="0.2">
      <c r="A12" s="248" t="s">
        <v>412</v>
      </c>
      <c r="B12" s="141" t="str">
        <f>VLOOKUP($A12,NSN!$A:$B,2,FALSE)</f>
        <v>C903335</v>
      </c>
      <c r="C12" s="142" t="str">
        <f>VLOOKUP($A12,CODIGOS!$B:$E,4,FALSE)</f>
        <v>800 grs</v>
      </c>
      <c r="D12" s="143">
        <f t="shared" ref="D12:D19" si="0">($F12*$I$3)/1000</f>
        <v>1.6</v>
      </c>
      <c r="E12" s="143">
        <f>IF(VLOOKUP($B12,CODIGOS!$A:$F,6,0)&lt;&gt;1000,(($F12*$I$3)/VLOOKUP($B12,CODIGOS!$A:$F,6,0)),"")</f>
        <v>2</v>
      </c>
      <c r="F12" s="207">
        <v>20</v>
      </c>
      <c r="G12" s="144">
        <f>(F12/1000)*VLOOKUP($B12,CODIGOS!$A:$G,7,0)</f>
        <v>0.02</v>
      </c>
      <c r="H12" s="25">
        <f>VLOOKUP($A12,CODIGOS!$B:$D,2,FALSE)</f>
        <v>4975</v>
      </c>
      <c r="I12" s="25">
        <f t="shared" ref="I12:I19" si="1">IF($H12="S/STOCK","",$J12/$I$3)</f>
        <v>124.375</v>
      </c>
      <c r="J12" s="25">
        <f t="shared" ref="J12:J19" si="2">IF(H12="S/STOCK","",IF($E12="",$D12*$H12,$E12*$H12))</f>
        <v>9950</v>
      </c>
      <c r="K12" s="144">
        <f>VLOOKUP($B12,CODIGOS!$A:$K,8,0)*$G12*1000</f>
        <v>70.599999999999994</v>
      </c>
      <c r="L12" s="144">
        <f>VLOOKUP($B12,CODIGOS!$A:$K,9,0)*$G12*1000</f>
        <v>8.0200000000000014</v>
      </c>
      <c r="M12" s="144">
        <f>VLOOKUP($B12,CODIGOS!$A:$K,10,0)*$G12*1000</f>
        <v>0.02</v>
      </c>
      <c r="N12" s="220">
        <f>VLOOKUP($B12,CODIGOS!$A:$K,11,0)*$G12*1000</f>
        <v>9.58</v>
      </c>
      <c r="O12" s="22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</row>
    <row r="13" spans="1:155" s="17" customFormat="1" ht="13.5" customHeight="1" x14ac:dyDescent="0.2">
      <c r="A13" s="248" t="s">
        <v>10</v>
      </c>
      <c r="B13" s="122" t="str">
        <f>VLOOKUP($A13,NSN!$A:$B,2,FALSE)</f>
        <v>C000827</v>
      </c>
      <c r="C13" s="123" t="str">
        <f>VLOOKUP($A13,CODIGOS!$B:$E,4,FALSE)</f>
        <v>KG</v>
      </c>
      <c r="D13" s="124">
        <f t="shared" si="0"/>
        <v>0.12</v>
      </c>
      <c r="E13" s="124" t="str">
        <f>IF(VLOOKUP($B13,CODIGOS!$A:$F,6,0)&lt;&gt;1000,(($F13*$I$3)/VLOOKUP($B13,CODIGOS!$A:$F,6,0)),"")</f>
        <v/>
      </c>
      <c r="F13" s="206">
        <v>1.5</v>
      </c>
      <c r="G13" s="125">
        <f>(F13/1000)*VLOOKUP($B13,CODIGOS!$A:$G,7,0)</f>
        <v>1.5E-3</v>
      </c>
      <c r="H13" s="24">
        <f>VLOOKUP($A13,CODIGOS!$B:$D,2,FALSE)</f>
        <v>7800</v>
      </c>
      <c r="I13" s="24">
        <f t="shared" si="1"/>
        <v>11.7</v>
      </c>
      <c r="J13" s="24">
        <f t="shared" si="2"/>
        <v>936</v>
      </c>
      <c r="K13" s="125">
        <f>VLOOKUP($B13,CODIGOS!$A:$K,8,0)*$G13*1000</f>
        <v>1.5000000000000001E-2</v>
      </c>
      <c r="L13" s="125">
        <f>VLOOKUP($B13,CODIGOS!$A:$K,9,0)*$G13*1000</f>
        <v>0</v>
      </c>
      <c r="M13" s="125">
        <f>VLOOKUP($B13,CODIGOS!$A:$K,10,0)*$G13*1000</f>
        <v>0</v>
      </c>
      <c r="N13" s="221">
        <f>VLOOKUP($B13,CODIGOS!$A:$K,11,0)*$G13*1000</f>
        <v>3.0000000000000001E-3</v>
      </c>
      <c r="O13" s="22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</row>
    <row r="14" spans="1:155" s="17" customFormat="1" ht="13.5" customHeight="1" x14ac:dyDescent="0.2">
      <c r="A14" s="248" t="s">
        <v>646</v>
      </c>
      <c r="B14" s="122" t="str">
        <f>VLOOKUP($A14,NSN!$A:$B,2,FALSE)</f>
        <v>C000523</v>
      </c>
      <c r="C14" s="123" t="str">
        <f>VLOOKUP($A14,CODIGOS!$B:$E,4,FALSE)</f>
        <v>TA 400 gr</v>
      </c>
      <c r="D14" s="124">
        <f t="shared" si="0"/>
        <v>0.08</v>
      </c>
      <c r="E14" s="124">
        <f>IF(VLOOKUP($B14,CODIGOS!$A:$F,6,0)&lt;&gt;1000,(($F14*$I$3)/VLOOKUP($B14,CODIGOS!$A:$F,6,0)),"")</f>
        <v>0.2</v>
      </c>
      <c r="F14" s="206">
        <v>1</v>
      </c>
      <c r="G14" s="125">
        <f>(F14/1000)*VLOOKUP($B14,CODIGOS!$A:$G,7,0)</f>
        <v>1E-3</v>
      </c>
      <c r="H14" s="24">
        <f>VLOOKUP($A14,CODIGOS!$B:$D,2,FALSE)</f>
        <v>9990</v>
      </c>
      <c r="I14" s="24">
        <f t="shared" si="1"/>
        <v>24.975000000000001</v>
      </c>
      <c r="J14" s="24">
        <f t="shared" si="2"/>
        <v>1998</v>
      </c>
      <c r="K14" s="125">
        <f>VLOOKUP($B14,CODIGOS!$A:$K,8,0)*$G14*1000</f>
        <v>2.61</v>
      </c>
      <c r="L14" s="125">
        <f>VLOOKUP($B14,CODIGOS!$A:$K,9,0)*$G14*1000</f>
        <v>0.16399999999999998</v>
      </c>
      <c r="M14" s="125">
        <f>VLOOKUP($B14,CODIGOS!$A:$K,10,0)*$G14*1000</f>
        <v>1E-3</v>
      </c>
      <c r="N14" s="221">
        <f>VLOOKUP($B14,CODIGOS!$A:$K,11,0)*$G14*1000</f>
        <v>0.49</v>
      </c>
      <c r="O14" s="22"/>
      <c r="Q14" s="23"/>
      <c r="R14" s="2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</row>
    <row r="15" spans="1:155" s="17" customFormat="1" ht="13.5" customHeight="1" x14ac:dyDescent="0.2">
      <c r="A15" s="248" t="s">
        <v>394</v>
      </c>
      <c r="B15" s="122" t="str">
        <f>VLOOKUP($A15,NSN!$A:$B,2,FALSE)</f>
        <v>C000816</v>
      </c>
      <c r="C15" s="123" t="str">
        <f>VLOOKUP($A15,CODIGOS!$B:$E,4,FALSE)</f>
        <v>KG</v>
      </c>
      <c r="D15" s="124">
        <f t="shared" si="0"/>
        <v>0.8</v>
      </c>
      <c r="E15" s="124" t="str">
        <f>IF(VLOOKUP($B15,CODIGOS!$A:$F,6,0)&lt;&gt;1000,(($F15*$I$3)/VLOOKUP($B15,CODIGOS!$A:$F,6,0)),"")</f>
        <v/>
      </c>
      <c r="F15" s="210">
        <v>10</v>
      </c>
      <c r="G15" s="125">
        <f>(F15/1000)*VLOOKUP($B15,CODIGOS!$A:$G,7,0)</f>
        <v>0.01</v>
      </c>
      <c r="H15" s="24">
        <f>VLOOKUP($A15,CODIGOS!$B:$D,2,FALSE)</f>
        <v>1128</v>
      </c>
      <c r="I15" s="24">
        <f t="shared" si="1"/>
        <v>11.280000000000001</v>
      </c>
      <c r="J15" s="24">
        <f t="shared" si="2"/>
        <v>902.40000000000009</v>
      </c>
      <c r="K15" s="125">
        <f>VLOOKUP($B15,CODIGOS!$A:$K,8,0)*$G15*1000</f>
        <v>39.800000000000004</v>
      </c>
      <c r="L15" s="125">
        <f>VLOOKUP($B15,CODIGOS!$A:$K,9,0)*$G15*1000</f>
        <v>0</v>
      </c>
      <c r="M15" s="125">
        <f>VLOOKUP($B15,CODIGOS!$A:$K,10,0)*$G15*1000</f>
        <v>0</v>
      </c>
      <c r="N15" s="221">
        <f>VLOOKUP($B15,CODIGOS!$A:$K,11,0)*$G15*1000</f>
        <v>9.9500000000000011</v>
      </c>
      <c r="O15" s="192"/>
      <c r="Q15" s="38"/>
      <c r="R15" s="38"/>
      <c r="S15" s="38"/>
      <c r="T15" s="38"/>
      <c r="U15" s="52"/>
      <c r="V15" s="52"/>
      <c r="W15" s="34"/>
      <c r="X15" s="35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</row>
    <row r="16" spans="1:155" s="37" customFormat="1" x14ac:dyDescent="0.2">
      <c r="A16" s="248" t="s">
        <v>2337</v>
      </c>
      <c r="B16" s="122" t="str">
        <f>VLOOKUP($A16,NSN!$A:$B,2,FALSE)</f>
        <v>C903555</v>
      </c>
      <c r="C16" s="123" t="str">
        <f>VLOOKUP($A16,CODIGOS!$B:$E,4,FALSE)</f>
        <v>KG</v>
      </c>
      <c r="D16" s="124">
        <f t="shared" si="0"/>
        <v>4.8</v>
      </c>
      <c r="E16" s="124" t="str">
        <f>IF(VLOOKUP($B16,CODIGOS!$A:$F,6,0)&lt;&gt;1000,(($F16*$I$3)/VLOOKUP($B16,CODIGOS!$A:$F,6,0)),"")</f>
        <v/>
      </c>
      <c r="F16" s="501">
        <v>60</v>
      </c>
      <c r="G16" s="125">
        <f>(F16/1000)*VLOOKUP($B16,CODIGOS!$A:$G,7,0)</f>
        <v>4.3379999999999995E-2</v>
      </c>
      <c r="H16" s="24">
        <f>VLOOKUP($A16,CODIGOS!$B:$D,2,FALSE)</f>
        <v>4165</v>
      </c>
      <c r="I16" s="24">
        <f t="shared" si="1"/>
        <v>249.9</v>
      </c>
      <c r="J16" s="24">
        <f>IF(H16="S/STOCK","",IF($E16="",$D16*$H16,$E16*$H16))</f>
        <v>19992</v>
      </c>
      <c r="K16" s="125">
        <f>VLOOKUP($B16,CODIGOS!$A:$K,8,0)*$G16*1000</f>
        <v>86.326199999999986</v>
      </c>
      <c r="L16" s="125">
        <f>VLOOKUP($B16,CODIGOS!$A:$K,9,0)*$G16*1000</f>
        <v>9.7171199999999978</v>
      </c>
      <c r="M16" s="125">
        <f>VLOOKUP($B16,CODIGOS!$A:$K,10,0)*$G16*1000</f>
        <v>4.9886999999999997</v>
      </c>
      <c r="N16" s="221">
        <f>VLOOKUP($B16,CODIGOS!$A:$K,11,0)*$G16*1000</f>
        <v>0.65069999999999995</v>
      </c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7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7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</row>
    <row r="17" spans="1:14" x14ac:dyDescent="0.2">
      <c r="A17" s="248" t="s">
        <v>622</v>
      </c>
      <c r="B17" s="122" t="str">
        <f>VLOOKUP($A17,NSN!$A:$B,2,FALSE)</f>
        <v>V000361</v>
      </c>
      <c r="C17" s="123" t="str">
        <f>VLOOKUP($A17,CODIGOS!$B:$E,4,FALSE)</f>
        <v>KG</v>
      </c>
      <c r="D17" s="124">
        <f t="shared" si="0"/>
        <v>0.8</v>
      </c>
      <c r="E17" s="124" t="str">
        <f>IF(VLOOKUP($B17,CODIGOS!$A:$F,6,0)&lt;&gt;1000,(($F17*$I$3)/VLOOKUP($B17,CODIGOS!$A:$F,6,0)),"")</f>
        <v/>
      </c>
      <c r="F17" s="501">
        <v>10</v>
      </c>
      <c r="G17" s="125">
        <f>(F17/1000)*VLOOKUP($B17,CODIGOS!$A:$G,7,0)</f>
        <v>0.01</v>
      </c>
      <c r="H17" s="24">
        <f>VLOOKUP($A17,CODIGOS!$B:$D,2,FALSE)</f>
        <v>2397</v>
      </c>
      <c r="I17" s="24">
        <f t="shared" si="1"/>
        <v>23.970000000000002</v>
      </c>
      <c r="J17" s="24">
        <f>IF(H17="S/STOCK","",IF($E17="",$D17*$H17,$E17*$H17))</f>
        <v>1917.6000000000001</v>
      </c>
      <c r="K17" s="125">
        <f>VLOOKUP($B17,CODIGOS!$A:$K,8,0)*$G17*1000</f>
        <v>62.6</v>
      </c>
      <c r="L17" s="125">
        <f>VLOOKUP($B17,CODIGOS!$A:$K,9,0)*$G17*1000</f>
        <v>0.13</v>
      </c>
      <c r="M17" s="125">
        <f>VLOOKUP($B17,CODIGOS!$A:$K,10,0)*$G17*1000</f>
        <v>6.48</v>
      </c>
      <c r="N17" s="221">
        <f>VLOOKUP($B17,CODIGOS!$A:$K,11,0)*$G17*1000</f>
        <v>0.95</v>
      </c>
    </row>
    <row r="18" spans="1:14" x14ac:dyDescent="0.2">
      <c r="A18" s="248" t="s">
        <v>653</v>
      </c>
      <c r="B18" s="122" t="str">
        <f>VLOOKUP($A18,NSN!$A:$B,2,FALSE)</f>
        <v>C000528</v>
      </c>
      <c r="C18" s="123" t="str">
        <f>VLOOKUP($A18,CODIGOS!$B:$E,4,FALSE)</f>
        <v>KG</v>
      </c>
      <c r="D18" s="124">
        <f t="shared" si="0"/>
        <v>0.04</v>
      </c>
      <c r="E18" s="124" t="str">
        <f>IF(VLOOKUP($B18,CODIGOS!$A:$F,6,0)&lt;&gt;1000,(($F18*$I$3)/VLOOKUP($B18,CODIGOS!$A:$F,6,0)),"")</f>
        <v/>
      </c>
      <c r="F18" s="501">
        <v>0.5</v>
      </c>
      <c r="G18" s="125">
        <f>(F18/1000)*VLOOKUP($B18,CODIGOS!$A:$G,7,0)</f>
        <v>5.0000000000000001E-4</v>
      </c>
      <c r="H18" s="24">
        <f>VLOOKUP($A18,CODIGOS!$B:$D,2,FALSE)</f>
        <v>375</v>
      </c>
      <c r="I18" s="24">
        <f t="shared" si="1"/>
        <v>0.1875</v>
      </c>
      <c r="J18" s="24">
        <f>IF(H18="S/STOCK","",IF($E18="",$D18*$H18,$E18*$H18))</f>
        <v>15</v>
      </c>
      <c r="K18" s="125">
        <f>VLOOKUP($B18,CODIGOS!$A:$K,8,0)*$G18*1000</f>
        <v>0</v>
      </c>
      <c r="L18" s="125">
        <f>VLOOKUP($B18,CODIGOS!$A:$K,9,0)*$G18*1000</f>
        <v>0</v>
      </c>
      <c r="M18" s="125">
        <f>VLOOKUP($B18,CODIGOS!$A:$K,10,0)*$G18*1000</f>
        <v>0</v>
      </c>
      <c r="N18" s="221">
        <f>VLOOKUP($B18,CODIGOS!$A:$K,11,0)*$G18*1000</f>
        <v>0</v>
      </c>
    </row>
    <row r="19" spans="1:14" ht="13.5" thickBot="1" x14ac:dyDescent="0.25">
      <c r="A19" s="248" t="s">
        <v>13</v>
      </c>
      <c r="B19" s="148" t="str">
        <f>VLOOKUP($A19,NSN!$A:$B,2,FALSE)</f>
        <v>V000415</v>
      </c>
      <c r="C19" s="149" t="str">
        <f>VLOOKUP($A19,CODIGOS!$B:$E,4,FALSE)</f>
        <v>KG</v>
      </c>
      <c r="D19" s="150">
        <f t="shared" si="0"/>
        <v>8</v>
      </c>
      <c r="E19" s="150" t="str">
        <f>IF(VLOOKUP($B19,CODIGOS!$A:$F,6,0)&lt;&gt;1000,(($F19*$I$3)/VLOOKUP($B19,CODIGOS!$A:$F,6,0)),"")</f>
        <v/>
      </c>
      <c r="F19" s="502">
        <v>100</v>
      </c>
      <c r="G19" s="137">
        <f>(F19/1000)*VLOOKUP($B19,CODIGOS!$A:$G,7,0)</f>
        <v>0.1</v>
      </c>
      <c r="H19" s="222">
        <f>VLOOKUP($A19,CODIGOS!$B:$D,2,FALSE)</f>
        <v>1783</v>
      </c>
      <c r="I19" s="222">
        <f t="shared" si="1"/>
        <v>178.3</v>
      </c>
      <c r="J19" s="222">
        <f t="shared" si="2"/>
        <v>14264</v>
      </c>
      <c r="K19" s="137">
        <f>VLOOKUP($B19,CODIGOS!$A:$K,8,0)*$G19*1000</f>
        <v>315</v>
      </c>
      <c r="L19" s="137">
        <f>VLOOKUP($B19,CODIGOS!$A:$K,9,0)*$G19*1000</f>
        <v>8.1999999999999993</v>
      </c>
      <c r="M19" s="137">
        <f>VLOOKUP($B19,CODIGOS!$A:$K,10,0)*$G19*1000</f>
        <v>4</v>
      </c>
      <c r="N19" s="223">
        <f>VLOOKUP($B19,CODIGOS!$A:$K,11,0)*$G19*1000</f>
        <v>61.6</v>
      </c>
    </row>
    <row r="20" spans="1:14" ht="13.5" thickBot="1" x14ac:dyDescent="0.25">
      <c r="A20" s="17" t="s">
        <v>627</v>
      </c>
      <c r="B20" s="33"/>
      <c r="C20" s="18"/>
      <c r="D20" s="126"/>
      <c r="E20" s="126"/>
      <c r="F20" s="211"/>
      <c r="G20" s="19"/>
      <c r="H20" s="41"/>
      <c r="I20" s="224">
        <f t="shared" ref="I20:N20" si="3">SUM(I12:I19)</f>
        <v>624.6875</v>
      </c>
      <c r="J20" s="225">
        <f t="shared" si="3"/>
        <v>49975</v>
      </c>
      <c r="K20" s="226">
        <f t="shared" si="3"/>
        <v>576.95119999999997</v>
      </c>
      <c r="L20" s="226">
        <f t="shared" si="3"/>
        <v>26.231119999999997</v>
      </c>
      <c r="M20" s="226">
        <f t="shared" si="3"/>
        <v>15.489699999999999</v>
      </c>
      <c r="N20" s="227">
        <f t="shared" si="3"/>
        <v>83.223700000000008</v>
      </c>
    </row>
    <row r="21" spans="1:14" ht="13.5" thickBot="1" x14ac:dyDescent="0.25">
      <c r="A21" s="106" t="s">
        <v>21</v>
      </c>
      <c r="B21" s="107"/>
      <c r="C21" s="107"/>
      <c r="D21" s="107"/>
      <c r="E21" s="107"/>
      <c r="F21" s="212"/>
      <c r="G21" s="107"/>
      <c r="H21" s="107"/>
      <c r="I21" s="191"/>
      <c r="J21" s="191"/>
      <c r="K21" s="191"/>
      <c r="L21" s="191"/>
      <c r="M21" s="191"/>
      <c r="N21" s="200"/>
    </row>
    <row r="22" spans="1:14" ht="12.75" customHeight="1" x14ac:dyDescent="0.2">
      <c r="A22" s="248" t="s">
        <v>72</v>
      </c>
      <c r="B22" s="141" t="str">
        <f>VLOOKUP($A22,NSN!$A:$B,2,FALSE)</f>
        <v>C902859</v>
      </c>
      <c r="C22" s="142" t="str">
        <f>VLOOKUP($A22,CODIGOS!$B:$E,4,FALSE)</f>
        <v>KG</v>
      </c>
      <c r="D22" s="143">
        <f t="shared" ref="D22:D37" si="4">($F22*$I$2)/1000</f>
        <v>1.2</v>
      </c>
      <c r="E22" s="143" t="str">
        <f>IF(VLOOKUP($B22,CODIGOS!$A:$F,6,0)&lt;&gt;1000,(($F22*$I$2)/VLOOKUP($B22,CODIGOS!$A:$F,6,0)),"")</f>
        <v/>
      </c>
      <c r="F22" s="207">
        <v>6</v>
      </c>
      <c r="G22" s="240">
        <f>(F22/1000)*VLOOKUP($B22,CODIGOS!$A:$G,7,0)</f>
        <v>6.0000000000000001E-3</v>
      </c>
      <c r="H22" s="25">
        <f>VLOOKUP($A22,CODIGOS!$B:$D,2,FALSE)</f>
        <v>2986</v>
      </c>
      <c r="I22" s="241">
        <f t="shared" ref="I22:I37" si="5">IF($H22="S/STOCK","",$J22/$I$2)</f>
        <v>17.916</v>
      </c>
      <c r="J22" s="59">
        <f t="shared" ref="J22:J37" si="6">IF(H22="S/STOCK","",IF($E22="",$D22*$H22,$E22*$H22))</f>
        <v>3583.2</v>
      </c>
      <c r="K22" s="128">
        <f>VLOOKUP($B22,CODIGOS!$A:$K,8,0)*$G22*1000</f>
        <v>21.54</v>
      </c>
      <c r="L22" s="129">
        <f>VLOOKUP($B22,CODIGOS!$A:$K,9,0)*$G22*1000</f>
        <v>0</v>
      </c>
      <c r="M22" s="129">
        <f>VLOOKUP($B22,CODIGOS!$A:$K,10,0)*$G22*1000</f>
        <v>0</v>
      </c>
      <c r="N22" s="130">
        <f>VLOOKUP($B22,CODIGOS!$A:$K,11,0)*$G22*1000</f>
        <v>5.3759999999999994</v>
      </c>
    </row>
    <row r="23" spans="1:14" ht="12.75" customHeight="1" x14ac:dyDescent="0.2">
      <c r="A23" s="248" t="s">
        <v>13</v>
      </c>
      <c r="B23" s="122" t="str">
        <f>VLOOKUP($A23,NSN!$A:$B,2,FALSE)</f>
        <v>V000415</v>
      </c>
      <c r="C23" s="123" t="str">
        <f>VLOOKUP($A23,CODIGOS!$B:$E,4,FALSE)</f>
        <v>KG</v>
      </c>
      <c r="D23" s="124">
        <f t="shared" si="4"/>
        <v>10</v>
      </c>
      <c r="E23" s="124" t="str">
        <f>IF(VLOOKUP($B23,CODIGOS!$A:$F,6,0)&lt;&gt;1000,(($F23*$I$2)/VLOOKUP($B23,CODIGOS!$A:$F,6,0)),"")</f>
        <v/>
      </c>
      <c r="F23" s="210">
        <v>50</v>
      </c>
      <c r="G23" s="135">
        <f>(F23/1000)*VLOOKUP($B23,CODIGOS!$A:$G,7,0)</f>
        <v>0.05</v>
      </c>
      <c r="H23" s="24">
        <f>VLOOKUP($A23,CODIGOS!$B:$D,2,FALSE)</f>
        <v>1783</v>
      </c>
      <c r="I23" s="147">
        <f t="shared" si="5"/>
        <v>89.15</v>
      </c>
      <c r="J23" s="53">
        <f t="shared" si="6"/>
        <v>17830</v>
      </c>
      <c r="K23" s="131">
        <f>VLOOKUP($B23,CODIGOS!$A:$K,8,0)*$G23*1000</f>
        <v>157.5</v>
      </c>
      <c r="L23" s="132">
        <f>VLOOKUP($B23,CODIGOS!$A:$K,9,0)*$G23*1000</f>
        <v>4.0999999999999996</v>
      </c>
      <c r="M23" s="132">
        <f>VLOOKUP($B23,CODIGOS!$A:$K,10,0)*$G23*1000</f>
        <v>2</v>
      </c>
      <c r="N23" s="133">
        <f>VLOOKUP($B23,CODIGOS!$A:$K,11,0)*$G23*1000</f>
        <v>30.8</v>
      </c>
    </row>
    <row r="24" spans="1:14" x14ac:dyDescent="0.2">
      <c r="A24" s="248" t="s">
        <v>84</v>
      </c>
      <c r="B24" s="122" t="str">
        <f>VLOOKUP($A24,NSN!$A:$B,2,FALSE)</f>
        <v>V000317</v>
      </c>
      <c r="C24" s="123" t="str">
        <f>VLOOKUP($A24,CODIGOS!$B:$E,4,FALSE)</f>
        <v>KG</v>
      </c>
      <c r="D24" s="124">
        <f t="shared" si="4"/>
        <v>8</v>
      </c>
      <c r="E24" s="124" t="str">
        <f>IF(VLOOKUP($B24,CODIGOS!$A:$F,6,0)&lt;&gt;1000,(($F24*$I$2)/VLOOKUP($B24,CODIGOS!$A:$F,6,0)),"")</f>
        <v/>
      </c>
      <c r="F24" s="504">
        <v>40</v>
      </c>
      <c r="G24" s="135">
        <f>(F24/1000)*VLOOKUP($B24,CODIGOS!$A:$G,7,0)</f>
        <v>3.78E-2</v>
      </c>
      <c r="H24" s="24">
        <f>VLOOKUP($A24,CODIGOS!$B:$D,2,FALSE)</f>
        <v>1669</v>
      </c>
      <c r="I24" s="147">
        <f t="shared" si="5"/>
        <v>66.760000000000005</v>
      </c>
      <c r="J24" s="53">
        <f t="shared" si="6"/>
        <v>13352</v>
      </c>
      <c r="K24" s="131">
        <f>VLOOKUP($B24,CODIGOS!$A:$K,8,0)*$G24*1000</f>
        <v>7.5600000000000005</v>
      </c>
      <c r="L24" s="132">
        <f>VLOOKUP($B24,CODIGOS!$A:$K,9,0)*$G24*1000</f>
        <v>0.30240000000000006</v>
      </c>
      <c r="M24" s="132">
        <f>VLOOKUP($B24,CODIGOS!$A:$K,10,0)*$G24*1000</f>
        <v>0.15120000000000003</v>
      </c>
      <c r="N24" s="133">
        <f>VLOOKUP($B24,CODIGOS!$A:$K,11,0)*$G24*1000</f>
        <v>1.2096000000000002</v>
      </c>
    </row>
    <row r="25" spans="1:14" x14ac:dyDescent="0.2">
      <c r="A25" s="248" t="s">
        <v>156</v>
      </c>
      <c r="B25" s="122" t="str">
        <f>VLOOKUP($A25,NSN!$A:$B,2,FALSE)</f>
        <v>V000229</v>
      </c>
      <c r="C25" s="123" t="str">
        <f>VLOOKUP($A25,CODIGOS!$B:$E,4,FALSE)</f>
        <v>NR 400 gr</v>
      </c>
      <c r="D25" s="124">
        <f t="shared" si="4"/>
        <v>8</v>
      </c>
      <c r="E25" s="124">
        <f>IF(VLOOKUP($B25,CODIGOS!$A:$F,6,0)&lt;&gt;1000,(($F25*$I$2)/VLOOKUP($B25,CODIGOS!$A:$F,6,0)),"")</f>
        <v>20</v>
      </c>
      <c r="F25" s="504">
        <v>40</v>
      </c>
      <c r="G25" s="135">
        <f>(F25/1000)*VLOOKUP($B25,CODIGOS!$A:$G,7,0)</f>
        <v>3.8679999999999999E-2</v>
      </c>
      <c r="H25" s="24">
        <f>VLOOKUP($A25,CODIGOS!$B:$D,2,FALSE)</f>
        <v>736</v>
      </c>
      <c r="I25" s="147">
        <f t="shared" si="5"/>
        <v>73.599999999999994</v>
      </c>
      <c r="J25" s="53">
        <f t="shared" si="6"/>
        <v>14720</v>
      </c>
      <c r="K25" s="131">
        <f>VLOOKUP($B25,CODIGOS!$A:$K,8,0)*$G25*1000</f>
        <v>5.0283999999999995</v>
      </c>
      <c r="L25" s="132">
        <f>VLOOKUP($B25,CODIGOS!$A:$K,9,0)*$G25*1000</f>
        <v>0.30943999999999999</v>
      </c>
      <c r="M25" s="132">
        <f>VLOOKUP($B25,CODIGOS!$A:$K,10,0)*$G25*1000</f>
        <v>7.7359999999999998E-2</v>
      </c>
      <c r="N25" s="133">
        <f>VLOOKUP($B25,CODIGOS!$A:$K,11,0)*$G25*1000</f>
        <v>0.81228000000000011</v>
      </c>
    </row>
    <row r="26" spans="1:14" x14ac:dyDescent="0.2">
      <c r="A26" s="248" t="s">
        <v>2028</v>
      </c>
      <c r="B26" s="122" t="str">
        <f>VLOOKUP($A26,NSN!$A:$B,2,FALSE)</f>
        <v>C902636</v>
      </c>
      <c r="C26" s="123" t="str">
        <f>VLOOKUP($A26,CODIGOS!$B:$E,4,FALSE)</f>
        <v>900 ML</v>
      </c>
      <c r="D26" s="124">
        <f t="shared" si="4"/>
        <v>1</v>
      </c>
      <c r="E26" s="124">
        <f>IF(VLOOKUP($B26,CODIGOS!$A:$F,6,0)&lt;&gt;1000,(($F26*$I$2)/VLOOKUP($B26,CODIGOS!$A:$F,6,0)),"")</f>
        <v>1.1111111111111112</v>
      </c>
      <c r="F26" s="505">
        <v>5</v>
      </c>
      <c r="G26" s="135">
        <f>(F26/1000)*VLOOKUP($B26,CODIGOS!$A:$G,7,0)</f>
        <v>5.0000000000000001E-3</v>
      </c>
      <c r="H26" s="24">
        <f>VLOOKUP($A26,CODIGOS!$B:$D,2,FALSE)</f>
        <v>1500</v>
      </c>
      <c r="I26" s="147">
        <f t="shared" si="5"/>
        <v>8.3333333333333339</v>
      </c>
      <c r="J26" s="53">
        <f t="shared" si="6"/>
        <v>1666.6666666666667</v>
      </c>
      <c r="K26" s="131">
        <f>VLOOKUP($B26,CODIGOS!$A:$K,8,0)*$G26*1000</f>
        <v>44.2</v>
      </c>
      <c r="L26" s="132">
        <f>VLOOKUP($B26,CODIGOS!$A:$K,9,0)*$G26*1000</f>
        <v>0</v>
      </c>
      <c r="M26" s="132">
        <f>VLOOKUP($B26,CODIGOS!$A:$K,10,0)*$G26*1000</f>
        <v>5</v>
      </c>
      <c r="N26" s="133">
        <f>VLOOKUP($B26,CODIGOS!$A:$K,11,0)*$G26*1000</f>
        <v>0</v>
      </c>
    </row>
    <row r="27" spans="1:14" x14ac:dyDescent="0.2">
      <c r="A27" s="248" t="s">
        <v>653</v>
      </c>
      <c r="B27" s="122" t="str">
        <f>VLOOKUP($A27,NSN!$A:$B,2,FALSE)</f>
        <v>C000528</v>
      </c>
      <c r="C27" s="123" t="str">
        <f>VLOOKUP($A27,CODIGOS!$B:$E,4,FALSE)</f>
        <v>KG</v>
      </c>
      <c r="D27" s="124">
        <f t="shared" si="4"/>
        <v>0.1</v>
      </c>
      <c r="E27" s="124" t="str">
        <f>IF(VLOOKUP($B27,CODIGOS!$A:$F,6,0)&lt;&gt;1000,(($F27*$I$2)/VLOOKUP($B27,CODIGOS!$A:$F,6,0)),"")</f>
        <v/>
      </c>
      <c r="F27" s="506">
        <v>0.5</v>
      </c>
      <c r="G27" s="135">
        <f>(F27/1000)*VLOOKUP($B27,CODIGOS!$A:$G,7,0)</f>
        <v>5.0000000000000001E-4</v>
      </c>
      <c r="H27" s="24">
        <f>VLOOKUP($A27,CODIGOS!$B:$D,2,FALSE)</f>
        <v>375</v>
      </c>
      <c r="I27" s="147">
        <f t="shared" si="5"/>
        <v>0.1875</v>
      </c>
      <c r="J27" s="53">
        <f>IF(H27="S/STOCK","",IF($E27="",$D27*$H27,$E27*$H27))</f>
        <v>37.5</v>
      </c>
      <c r="K27" s="131">
        <f>VLOOKUP($B27,CODIGOS!$A:$K,8,0)*$G27*1000</f>
        <v>0</v>
      </c>
      <c r="L27" s="132">
        <f>VLOOKUP($B27,CODIGOS!$A:$K,9,0)*$G27*1000</f>
        <v>0</v>
      </c>
      <c r="M27" s="132">
        <f>VLOOKUP($B27,CODIGOS!$A:$K,10,0)*$G27*1000</f>
        <v>0</v>
      </c>
      <c r="N27" s="133">
        <f>VLOOKUP($B27,CODIGOS!$A:$K,11,0)*$G27*1000</f>
        <v>0</v>
      </c>
    </row>
    <row r="28" spans="1:14" ht="12.75" customHeight="1" x14ac:dyDescent="0.2">
      <c r="A28" s="248" t="s">
        <v>470</v>
      </c>
      <c r="B28" s="122" t="str">
        <f>VLOOKUP($A28,NSN!$A:$B,2,FALSE)</f>
        <v>V001129</v>
      </c>
      <c r="C28" s="123" t="str">
        <f>VLOOKUP($A28,CODIGOS!$B:$E,4,FALSE)</f>
        <v>500 cc</v>
      </c>
      <c r="D28" s="124">
        <f t="shared" si="4"/>
        <v>2</v>
      </c>
      <c r="E28" s="124">
        <f>IF(VLOOKUP($B28,CODIGOS!$A:$F,6,0)&lt;&gt;1000,(($F28*$I$2)/VLOOKUP($B28,CODIGOS!$A:$F,6,0)),"")</f>
        <v>4</v>
      </c>
      <c r="F28" s="505">
        <v>10</v>
      </c>
      <c r="G28" s="135">
        <f>(F28/1000)*VLOOKUP($B28,CODIGOS!$A:$G,7,0)</f>
        <v>0.01</v>
      </c>
      <c r="H28" s="24">
        <f>VLOOKUP($A28,CODIGOS!$B:$D,2,FALSE)</f>
        <v>1550</v>
      </c>
      <c r="I28" s="147">
        <f t="shared" si="5"/>
        <v>31</v>
      </c>
      <c r="J28" s="53">
        <f>IF(H28="S/STOCK","",IF($E28="",$D28*$H28,$E28*$H28))</f>
        <v>6200</v>
      </c>
      <c r="K28" s="131">
        <f>VLOOKUP($B28,CODIGOS!$A:$K,8,0)*$G28*1000</f>
        <v>2.5</v>
      </c>
      <c r="L28" s="132">
        <f>VLOOKUP($B28,CODIGOS!$A:$K,9,0)*$G28*1000</f>
        <v>0</v>
      </c>
      <c r="M28" s="132">
        <f>VLOOKUP($B28,CODIGOS!$A:$K,10,0)*$G28*1000</f>
        <v>0.01</v>
      </c>
      <c r="N28" s="133">
        <f>VLOOKUP($B28,CODIGOS!$A:$K,11,0)*$G28*1000</f>
        <v>9.370000000000001</v>
      </c>
    </row>
    <row r="29" spans="1:14" x14ac:dyDescent="0.2">
      <c r="A29" s="248" t="s">
        <v>36</v>
      </c>
      <c r="B29" s="122" t="str">
        <f>VLOOKUP($A29,NSN!$A:$B,2,FALSE)</f>
        <v>C000196</v>
      </c>
      <c r="C29" s="123" t="str">
        <f>VLOOKUP($A29,CODIGOS!$B:$E,4,FALSE)</f>
        <v>KG</v>
      </c>
      <c r="D29" s="124">
        <f t="shared" si="4"/>
        <v>16</v>
      </c>
      <c r="E29" s="124" t="str">
        <f>IF(VLOOKUP($B29,CODIGOS!$A:$F,6,0)&lt;&gt;1000,(($F29*$I$2)/VLOOKUP($B29,CODIGOS!$A:$F,6,0)),"")</f>
        <v/>
      </c>
      <c r="F29" s="507">
        <v>80</v>
      </c>
      <c r="G29" s="135">
        <f>(F29/1000)*VLOOKUP($B29,CODIGOS!$A:$G,7,0)</f>
        <v>0.08</v>
      </c>
      <c r="H29" s="24">
        <f>VLOOKUP($A29,CODIGOS!$B:$D,2,FALSE)</f>
        <v>2664</v>
      </c>
      <c r="I29" s="147">
        <f t="shared" si="5"/>
        <v>213.12</v>
      </c>
      <c r="J29" s="53">
        <f t="shared" si="6"/>
        <v>42624</v>
      </c>
      <c r="K29" s="131">
        <f>VLOOKUP($B29,CODIGOS!$A:$K,8,0)*$G29*1000</f>
        <v>260.79999999999995</v>
      </c>
      <c r="L29" s="132">
        <f>VLOOKUP($B29,CODIGOS!$A:$K,9,0)*$G29*1000</f>
        <v>16.48</v>
      </c>
      <c r="M29" s="132">
        <f>VLOOKUP($B29,CODIGOS!$A:$K,10,0)*$G29*1000</f>
        <v>1.28</v>
      </c>
      <c r="N29" s="133">
        <f>VLOOKUP($B29,CODIGOS!$A:$K,11,0)*$G29*1000</f>
        <v>45.839999999999996</v>
      </c>
    </row>
    <row r="30" spans="1:14" x14ac:dyDescent="0.2">
      <c r="A30" s="248" t="s">
        <v>35</v>
      </c>
      <c r="B30" s="122" t="str">
        <f>VLOOKUP($A30,NSN!$A:$B,2,FALSE)</f>
        <v>C000361</v>
      </c>
      <c r="C30" s="123" t="str">
        <f>VLOOKUP($A30,CODIGOS!$B:$E,4,FALSE)</f>
        <v>KG</v>
      </c>
      <c r="D30" s="124">
        <f t="shared" si="4"/>
        <v>4</v>
      </c>
      <c r="E30" s="124" t="str">
        <f>IF(VLOOKUP($B30,CODIGOS!$A:$F,6,0)&lt;&gt;1000,(($F30*$I$2)/VLOOKUP($B30,CODIGOS!$A:$F,6,0)),"")</f>
        <v/>
      </c>
      <c r="F30" s="507">
        <v>20</v>
      </c>
      <c r="G30" s="135">
        <f>(F30/1000)*VLOOKUP($B30,CODIGOS!$A:$G,7,0)</f>
        <v>0.02</v>
      </c>
      <c r="H30" s="24">
        <f>VLOOKUP($A30,CODIGOS!$B:$D,2,FALSE)</f>
        <v>1495</v>
      </c>
      <c r="I30" s="147">
        <f t="shared" si="5"/>
        <v>29.9</v>
      </c>
      <c r="J30" s="53">
        <f t="shared" si="6"/>
        <v>5980</v>
      </c>
      <c r="K30" s="131">
        <f>VLOOKUP($B30,CODIGOS!$A:$K,8,0)*$G30*1000</f>
        <v>70.400000000000006</v>
      </c>
      <c r="L30" s="132">
        <f>VLOOKUP($B30,CODIGOS!$A:$K,9,0)*$G30*1000</f>
        <v>2.2200000000000002</v>
      </c>
      <c r="M30" s="132">
        <f>VLOOKUP($B30,CODIGOS!$A:$K,10,0)*$G30*1000</f>
        <v>0.08</v>
      </c>
      <c r="N30" s="133">
        <f>VLOOKUP($B30,CODIGOS!$A:$K,11,0)*$G30*1000</f>
        <v>15.319999999999999</v>
      </c>
    </row>
    <row r="31" spans="1:14" x14ac:dyDescent="0.2">
      <c r="A31" s="248" t="s">
        <v>124</v>
      </c>
      <c r="B31" s="122" t="str">
        <f>VLOOKUP($A31,NSN!$A:$B,2,FALSE)</f>
        <v>V000006</v>
      </c>
      <c r="C31" s="123" t="str">
        <f>VLOOKUP($A31,CODIGOS!$B:$E,4,FALSE)</f>
        <v>AT 640 gr</v>
      </c>
      <c r="D31" s="124">
        <f t="shared" si="4"/>
        <v>6</v>
      </c>
      <c r="E31" s="124">
        <f>IF(VLOOKUP($B31,CODIGOS!$A:$F,6,0)&lt;&gt;1000,(($F31*$I$2)/VLOOKUP($B31,CODIGOS!$A:$F,6,0)),"")</f>
        <v>9.375</v>
      </c>
      <c r="F31" s="507">
        <v>30</v>
      </c>
      <c r="G31" s="135">
        <f>(F31/1000)*VLOOKUP($B31,CODIGOS!$A:$G,7,0)</f>
        <v>2.5139999999999999E-2</v>
      </c>
      <c r="H31" s="24">
        <f>VLOOKUP($A31,CODIGOS!$B:$D,2,FALSE)</f>
        <v>946</v>
      </c>
      <c r="I31" s="147">
        <f t="shared" si="5"/>
        <v>44.34375</v>
      </c>
      <c r="J31" s="53">
        <f t="shared" si="6"/>
        <v>8868.75</v>
      </c>
      <c r="K31" s="131">
        <f>VLOOKUP($B31,CODIGOS!$A:$K,8,0)*$G31*1000</f>
        <v>7.2905999999999995</v>
      </c>
      <c r="L31" s="132">
        <f>VLOOKUP($B31,CODIGOS!$A:$K,9,0)*$G31*1000</f>
        <v>0.32682</v>
      </c>
      <c r="M31" s="132">
        <f>VLOOKUP($B31,CODIGOS!$A:$K,10,0)*$G31*1000</f>
        <v>0.10056</v>
      </c>
      <c r="N31" s="133">
        <f>VLOOKUP($B31,CODIGOS!$A:$K,11,0)*$G31*1000</f>
        <v>1.2821400000000001</v>
      </c>
    </row>
    <row r="32" spans="1:14" x14ac:dyDescent="0.2">
      <c r="A32" s="248" t="s">
        <v>56</v>
      </c>
      <c r="B32" s="122" t="str">
        <f>VLOOKUP($A32,NSN!$A:$B,2,FALSE)</f>
        <v>C000249</v>
      </c>
      <c r="C32" s="123" t="str">
        <f>VLOOKUP($A32,CODIGOS!$B:$E,4,FALSE)</f>
        <v>KG</v>
      </c>
      <c r="D32" s="124">
        <f t="shared" si="4"/>
        <v>4</v>
      </c>
      <c r="E32" s="124" t="str">
        <f>IF(VLOOKUP($B32,CODIGOS!$A:$F,6,0)&lt;&gt;1000,(($F32*$I$2)/VLOOKUP($B32,CODIGOS!$A:$F,6,0)),"")</f>
        <v/>
      </c>
      <c r="F32" s="507">
        <v>20</v>
      </c>
      <c r="G32" s="135">
        <f>(F32/1000)*VLOOKUP($B32,CODIGOS!$A:$G,7,0)</f>
        <v>1.7819999999999999E-2</v>
      </c>
      <c r="H32" s="24">
        <f>VLOOKUP($A32,CODIGOS!$B:$D,2,FALSE)</f>
        <v>640</v>
      </c>
      <c r="I32" s="147">
        <f t="shared" si="5"/>
        <v>12.8</v>
      </c>
      <c r="J32" s="53">
        <f t="shared" si="6"/>
        <v>2560</v>
      </c>
      <c r="K32" s="131">
        <f>VLOOKUP($B32,CODIGOS!$A:$K,8,0)*$G32*1000</f>
        <v>7.6625999999999994</v>
      </c>
      <c r="L32" s="132">
        <f>VLOOKUP($B32,CODIGOS!$A:$K,9,0)*$G32*1000</f>
        <v>0.14255999999999999</v>
      </c>
      <c r="M32" s="132">
        <f>VLOOKUP($B32,CODIGOS!$A:$K,10,0)*$G32*1000</f>
        <v>3.5639999999999998E-2</v>
      </c>
      <c r="N32" s="133">
        <f>VLOOKUP($B32,CODIGOS!$A:$K,11,0)*$G32*1000</f>
        <v>1.71072</v>
      </c>
    </row>
    <row r="33" spans="1:14" x14ac:dyDescent="0.2">
      <c r="A33" s="248" t="s">
        <v>199</v>
      </c>
      <c r="B33" s="122" t="str">
        <f>VLOOKUP($A33,NSN!$A:$B,2,FALSE)</f>
        <v>V000330</v>
      </c>
      <c r="C33" s="123" t="str">
        <f>VLOOKUP($A33,CODIGOS!$B:$E,4,FALSE)</f>
        <v>KG</v>
      </c>
      <c r="D33" s="124">
        <f t="shared" si="4"/>
        <v>4</v>
      </c>
      <c r="E33" s="124" t="str">
        <f>IF(VLOOKUP($B33,CODIGOS!$A:$F,6,0)&lt;&gt;1000,(($F33*$I$2)/VLOOKUP($B33,CODIGOS!$A:$F,6,0)),"")</f>
        <v/>
      </c>
      <c r="F33" s="507">
        <v>20</v>
      </c>
      <c r="G33" s="135">
        <f>(F33/1000)*VLOOKUP($B33,CODIGOS!$A:$G,7,0)</f>
        <v>1.804E-2</v>
      </c>
      <c r="H33" s="24">
        <f>VLOOKUP($A33,CODIGOS!$B:$D,2,FALSE)</f>
        <v>1287</v>
      </c>
      <c r="I33" s="147">
        <f t="shared" si="5"/>
        <v>25.74</v>
      </c>
      <c r="J33" s="53">
        <f>IF(H33="S/STOCK","",IF($E33="",$D33*$H33,$E33*$H33))</f>
        <v>5148</v>
      </c>
      <c r="K33" s="131">
        <f>VLOOKUP($B33,CODIGOS!$A:$K,8,0)*$G33*1000</f>
        <v>15.5144</v>
      </c>
      <c r="L33" s="132">
        <f>VLOOKUP($B33,CODIGOS!$A:$K,9,0)*$G33*1000</f>
        <v>0.16236</v>
      </c>
      <c r="M33" s="132">
        <f>VLOOKUP($B33,CODIGOS!$A:$K,10,0)*$G33*1000</f>
        <v>9.0200000000000016E-2</v>
      </c>
      <c r="N33" s="133">
        <f>VLOOKUP($B33,CODIGOS!$A:$K,11,0)*$G33*1000</f>
        <v>1.4612400000000001</v>
      </c>
    </row>
    <row r="34" spans="1:14" x14ac:dyDescent="0.2">
      <c r="A34" s="248" t="s">
        <v>16</v>
      </c>
      <c r="B34" s="122" t="str">
        <f>VLOOKUP($A34,NSN!$A:$B,2,FALSE)</f>
        <v>V000332</v>
      </c>
      <c r="C34" s="123" t="str">
        <f>VLOOKUP($A34,CODIGOS!$B:$E,4,FALSE)</f>
        <v>KG</v>
      </c>
      <c r="D34" s="124">
        <f t="shared" si="4"/>
        <v>10</v>
      </c>
      <c r="E34" s="124" t="str">
        <f>IF(VLOOKUP($B34,CODIGOS!$A:$F,6,0)&lt;&gt;1000,(($F34*$I$2)/VLOOKUP($B34,CODIGOS!$A:$F,6,0)),"")</f>
        <v/>
      </c>
      <c r="F34" s="507">
        <v>50</v>
      </c>
      <c r="G34" s="135">
        <f>(F34/1000)*VLOOKUP($B34,CODIGOS!$A:$G,7,0)</f>
        <v>4.6850000000000003E-2</v>
      </c>
      <c r="H34" s="24">
        <f>VLOOKUP($A34,CODIGOS!$B:$D,2,FALSE)</f>
        <v>1456</v>
      </c>
      <c r="I34" s="147">
        <f t="shared" si="5"/>
        <v>72.8</v>
      </c>
      <c r="J34" s="53">
        <f>IF(H34="S/STOCK","",IF($E34="",$D34*$H34,$E34*$H34))</f>
        <v>14560</v>
      </c>
      <c r="K34" s="131">
        <f>VLOOKUP($B34,CODIGOS!$A:$K,8,0)*$G34*1000</f>
        <v>15.929000000000002</v>
      </c>
      <c r="L34" s="132">
        <f>VLOOKUP($B34,CODIGOS!$A:$K,9,0)*$G34*1000</f>
        <v>9.3700000000000006E-2</v>
      </c>
      <c r="M34" s="132">
        <f>VLOOKUP($B34,CODIGOS!$A:$K,10,0)*$G34*1000</f>
        <v>0.28110000000000002</v>
      </c>
      <c r="N34" s="133">
        <f>VLOOKUP($B34,CODIGOS!$A:$K,11,0)*$G34*1000</f>
        <v>3.2795000000000001</v>
      </c>
    </row>
    <row r="35" spans="1:14" x14ac:dyDescent="0.2">
      <c r="A35" s="248" t="s">
        <v>2028</v>
      </c>
      <c r="B35" s="122" t="str">
        <f>VLOOKUP($A35,NSN!$A:$B,2,FALSE)</f>
        <v>C902636</v>
      </c>
      <c r="C35" s="123" t="str">
        <f>VLOOKUP($A35,CODIGOS!$B:$E,4,FALSE)</f>
        <v>900 ML</v>
      </c>
      <c r="D35" s="124">
        <f t="shared" si="4"/>
        <v>1</v>
      </c>
      <c r="E35" s="124">
        <f>IF(VLOOKUP($B35,CODIGOS!$A:$F,6,0)&lt;&gt;1000,(($F35*$I$2)/VLOOKUP($B35,CODIGOS!$A:$F,6,0)),"")</f>
        <v>1.1111111111111112</v>
      </c>
      <c r="F35" s="507">
        <v>5</v>
      </c>
      <c r="G35" s="135">
        <f>(F35/1000)*VLOOKUP($B35,CODIGOS!$A:$G,7,0)</f>
        <v>5.0000000000000001E-3</v>
      </c>
      <c r="H35" s="24">
        <f>VLOOKUP($A35,CODIGOS!$B:$D,2,FALSE)</f>
        <v>1500</v>
      </c>
      <c r="I35" s="147">
        <f t="shared" si="5"/>
        <v>8.3333333333333339</v>
      </c>
      <c r="J35" s="53">
        <f t="shared" si="6"/>
        <v>1666.6666666666667</v>
      </c>
      <c r="K35" s="131">
        <f>VLOOKUP($B35,CODIGOS!$A:$K,8,0)*$G35*1000</f>
        <v>44.2</v>
      </c>
      <c r="L35" s="132">
        <f>VLOOKUP($B35,CODIGOS!$A:$K,9,0)*$G35*1000</f>
        <v>0</v>
      </c>
      <c r="M35" s="132">
        <f>VLOOKUP($B35,CODIGOS!$A:$K,10,0)*$G35*1000</f>
        <v>5</v>
      </c>
      <c r="N35" s="133">
        <f>VLOOKUP($B35,CODIGOS!$A:$K,11,0)*$G35*1000</f>
        <v>0</v>
      </c>
    </row>
    <row r="36" spans="1:14" x14ac:dyDescent="0.2">
      <c r="A36" s="248" t="s">
        <v>653</v>
      </c>
      <c r="B36" s="122" t="str">
        <f>VLOOKUP($A36,NSN!$A:$B,2,FALSE)</f>
        <v>C000528</v>
      </c>
      <c r="C36" s="123" t="str">
        <f>VLOOKUP($A36,CODIGOS!$B:$E,4,FALSE)</f>
        <v>KG</v>
      </c>
      <c r="D36" s="124">
        <f t="shared" si="4"/>
        <v>0.1</v>
      </c>
      <c r="E36" s="124" t="str">
        <f>IF(VLOOKUP($B36,CODIGOS!$A:$F,6,0)&lt;&gt;1000,(($F36*$I$2)/VLOOKUP($B36,CODIGOS!$A:$F,6,0)),"")</f>
        <v/>
      </c>
      <c r="F36" s="507">
        <v>0.5</v>
      </c>
      <c r="G36" s="135">
        <f>(F36/1000)*VLOOKUP($B36,CODIGOS!$A:$G,7,0)</f>
        <v>5.0000000000000001E-4</v>
      </c>
      <c r="H36" s="24">
        <f>VLOOKUP($A36,CODIGOS!$B:$D,2,FALSE)</f>
        <v>375</v>
      </c>
      <c r="I36" s="147">
        <f t="shared" si="5"/>
        <v>0.1875</v>
      </c>
      <c r="J36" s="53">
        <f t="shared" si="6"/>
        <v>37.5</v>
      </c>
      <c r="K36" s="131">
        <f>VLOOKUP($B36,CODIGOS!$A:$K,8,0)*$G36*1000</f>
        <v>0</v>
      </c>
      <c r="L36" s="132">
        <f>VLOOKUP($B36,CODIGOS!$A:$K,9,0)*$G36*1000</f>
        <v>0</v>
      </c>
      <c r="M36" s="132">
        <f>VLOOKUP($B36,CODIGOS!$A:$K,10,0)*$G36*1000</f>
        <v>0</v>
      </c>
      <c r="N36" s="133">
        <f>VLOOKUP($B36,CODIGOS!$A:$K,11,0)*$G36*1000</f>
        <v>0</v>
      </c>
    </row>
    <row r="37" spans="1:14" ht="13.5" thickBot="1" x14ac:dyDescent="0.25">
      <c r="A37" s="248" t="s">
        <v>309</v>
      </c>
      <c r="B37" s="148" t="str">
        <f>VLOOKUP($A37,NSN!$A:$B,2,FALSE)</f>
        <v>C902851</v>
      </c>
      <c r="C37" s="149" t="str">
        <f>VLOOKUP($A37,CODIGOS!$B:$E,4,FALSE)</f>
        <v>KG</v>
      </c>
      <c r="D37" s="150">
        <f t="shared" si="4"/>
        <v>4</v>
      </c>
      <c r="E37" s="150" t="str">
        <f>IF(VLOOKUP($B37,CODIGOS!$A:$F,6,0)&lt;&gt;1000,(($F37*$I$2)/VLOOKUP($B37,CODIGOS!$A:$F,6,0)),"")</f>
        <v/>
      </c>
      <c r="F37" s="502">
        <v>20</v>
      </c>
      <c r="G37" s="242">
        <f>(F37/1000)*VLOOKUP($B37,CODIGOS!$A:$G,7,0)</f>
        <v>0.02</v>
      </c>
      <c r="H37" s="222">
        <f>VLOOKUP($A37,CODIGOS!$B:$D,2,FALSE)</f>
        <v>2418</v>
      </c>
      <c r="I37" s="243">
        <f t="shared" si="5"/>
        <v>48.36</v>
      </c>
      <c r="J37" s="229">
        <f t="shared" si="6"/>
        <v>9672</v>
      </c>
      <c r="K37" s="238">
        <f>VLOOKUP($B37,CODIGOS!$A:$K,8,0)*$G37*1000</f>
        <v>74.800000000000011</v>
      </c>
      <c r="L37" s="230">
        <f>VLOOKUP($B37,CODIGOS!$A:$K,9,0)*$G37*1000</f>
        <v>0.5</v>
      </c>
      <c r="M37" s="230">
        <f>VLOOKUP($B37,CODIGOS!$A:$K,10,0)*$G37*1000</f>
        <v>0.44000000000000006</v>
      </c>
      <c r="N37" s="231">
        <f>VLOOKUP($B37,CODIGOS!$A:$K,11,0)*$G37*1000</f>
        <v>17.2</v>
      </c>
    </row>
    <row r="38" spans="1:14" ht="13.5" thickBot="1" x14ac:dyDescent="0.25">
      <c r="A38" s="17" t="s">
        <v>627</v>
      </c>
      <c r="B38" s="33"/>
      <c r="C38" s="18"/>
      <c r="D38" s="126"/>
      <c r="E38" s="126"/>
      <c r="F38" s="211"/>
      <c r="G38" s="19"/>
      <c r="H38" s="41"/>
      <c r="I38" s="249">
        <f t="shared" ref="I38:N38" si="7">SUM(I22:I37)</f>
        <v>742.5314166666667</v>
      </c>
      <c r="J38" s="250">
        <f t="shared" si="7"/>
        <v>148506.28333333333</v>
      </c>
      <c r="K38" s="251">
        <f t="shared" si="7"/>
        <v>734.92499999999995</v>
      </c>
      <c r="L38" s="251">
        <f t="shared" si="7"/>
        <v>24.637279999999997</v>
      </c>
      <c r="M38" s="251">
        <f t="shared" si="7"/>
        <v>14.546059999999999</v>
      </c>
      <c r="N38" s="252">
        <f t="shared" si="7"/>
        <v>133.66147999999998</v>
      </c>
    </row>
    <row r="39" spans="1:14" ht="13.5" thickBot="1" x14ac:dyDescent="0.25">
      <c r="A39" s="106" t="s">
        <v>23</v>
      </c>
      <c r="B39" s="107"/>
      <c r="C39" s="107"/>
      <c r="D39" s="107"/>
      <c r="E39" s="107"/>
      <c r="F39" s="212"/>
      <c r="G39" s="107"/>
      <c r="H39" s="107"/>
      <c r="I39" s="191"/>
      <c r="J39" s="191"/>
      <c r="K39" s="191"/>
      <c r="L39" s="191"/>
      <c r="M39" s="191"/>
      <c r="N39" s="200"/>
    </row>
    <row r="40" spans="1:14" x14ac:dyDescent="0.2">
      <c r="A40" s="248" t="s">
        <v>72</v>
      </c>
      <c r="B40" s="141" t="str">
        <f>VLOOKUP($A40,NSN!$A:$B,2,FALSE)</f>
        <v>C902859</v>
      </c>
      <c r="C40" s="142" t="str">
        <f>VLOOKUP($A40,CODIGOS!$B:$E,4,FALSE)</f>
        <v>KG</v>
      </c>
      <c r="D40" s="143">
        <f>($F40*$I$3)/1000</f>
        <v>0.48</v>
      </c>
      <c r="E40" s="143" t="str">
        <f>IF(VLOOKUP($B40,CODIGOS!$A:$F,6,0)&lt;&gt;1000,(($F40*$I$3)/VLOOKUP($B40,CODIGOS!$A:$F,6,0)),"")</f>
        <v/>
      </c>
      <c r="F40" s="207">
        <v>6</v>
      </c>
      <c r="G40" s="144">
        <f>(F40/1000)*VLOOKUP($B40,CODIGOS!$A:$G,7,0)</f>
        <v>6.0000000000000001E-3</v>
      </c>
      <c r="H40" s="25">
        <f>VLOOKUP($A40,CODIGOS!$B:$D,2,FALSE)</f>
        <v>2986</v>
      </c>
      <c r="I40" s="25">
        <f>IF($H40="S/STOCK","",$J40/$I$3)</f>
        <v>17.916</v>
      </c>
      <c r="J40" s="25">
        <f t="shared" ref="J40:J57" si="8">IF(H40="S/STOCK","",IF($E40="",$D40*$H40,$E40*$H40))</f>
        <v>1433.28</v>
      </c>
      <c r="K40" s="144">
        <f>VLOOKUP($B40,CODIGOS!$A:$K,8,0)*$G40*1000</f>
        <v>21.54</v>
      </c>
      <c r="L40" s="144">
        <f>VLOOKUP($B40,CODIGOS!$A:$K,9,0)*$G40*1000</f>
        <v>0</v>
      </c>
      <c r="M40" s="144">
        <f>VLOOKUP($B40,CODIGOS!$A:$K,10,0)*$G40*1000</f>
        <v>0</v>
      </c>
      <c r="N40" s="220">
        <f>VLOOKUP($B40,CODIGOS!$A:$K,11,0)*$G40*1000</f>
        <v>5.3759999999999994</v>
      </c>
    </row>
    <row r="41" spans="1:14" x14ac:dyDescent="0.2">
      <c r="A41" s="248" t="s">
        <v>13</v>
      </c>
      <c r="B41" s="122" t="str">
        <f>VLOOKUP($A41,NSN!$A:$B,2,FALSE)</f>
        <v>V000415</v>
      </c>
      <c r="C41" s="123" t="str">
        <f>VLOOKUP($A41,CODIGOS!$B:$E,4,FALSE)</f>
        <v>KG</v>
      </c>
      <c r="D41" s="124">
        <f>($F41*$I$3)/1000</f>
        <v>4</v>
      </c>
      <c r="E41" s="124" t="str">
        <f>IF(VLOOKUP($B41,CODIGOS!$A:$F,6,0)&lt;&gt;1000,(($F41*$I$3)/VLOOKUP($B41,CODIGOS!$A:$F,6,0)),"")</f>
        <v/>
      </c>
      <c r="F41" s="206">
        <v>50</v>
      </c>
      <c r="G41" s="125">
        <f>(F41/1000)*VLOOKUP($B41,CODIGOS!$A:$G,7,0)</f>
        <v>0.05</v>
      </c>
      <c r="H41" s="24">
        <f>VLOOKUP($A41,CODIGOS!$B:$D,2,FALSE)</f>
        <v>1783</v>
      </c>
      <c r="I41" s="24">
        <f>IF($H41="S/STOCK","",$J41/$I$3)</f>
        <v>89.15</v>
      </c>
      <c r="J41" s="24">
        <f t="shared" si="8"/>
        <v>7132</v>
      </c>
      <c r="K41" s="125">
        <f>VLOOKUP($B41,CODIGOS!$A:$K,8,0)*$G41*1000</f>
        <v>157.5</v>
      </c>
      <c r="L41" s="125">
        <f>VLOOKUP($B41,CODIGOS!$A:$K,9,0)*$G41*1000</f>
        <v>4.0999999999999996</v>
      </c>
      <c r="M41" s="125">
        <f>VLOOKUP($B41,CODIGOS!$A:$K,10,0)*$G41*1000</f>
        <v>2</v>
      </c>
      <c r="N41" s="221">
        <f>VLOOKUP($B41,CODIGOS!$A:$K,11,0)*$G41*1000</f>
        <v>30.8</v>
      </c>
    </row>
    <row r="42" spans="1:14" x14ac:dyDescent="0.2">
      <c r="A42" s="248" t="s">
        <v>196</v>
      </c>
      <c r="B42" s="122" t="str">
        <f>VLOOKUP($A42,NSN!$A:$B,2,FALSE)</f>
        <v>V000170</v>
      </c>
      <c r="C42" s="123" t="str">
        <f>VLOOKUP($A42,CODIGOS!$B:$E,4,FALSE)</f>
        <v>NR (650 g)</v>
      </c>
      <c r="D42" s="124">
        <f t="shared" ref="D42:D56" si="9">($F42*$I$3)/1000</f>
        <v>3.2</v>
      </c>
      <c r="E42" s="124">
        <f>IF(VLOOKUP($B42,CODIGOS!$A:$F,6,0)&lt;&gt;1000,(($F42*$I$2)/VLOOKUP($B42,CODIGOS!$A:$F,6,0)),"")</f>
        <v>12.307692307692308</v>
      </c>
      <c r="F42" s="504">
        <v>40</v>
      </c>
      <c r="G42" s="135">
        <f>(F42/1000)*VLOOKUP($B42,CODIGOS!$A:$G,7,0)</f>
        <v>3.8239999999999996E-2</v>
      </c>
      <c r="H42" s="24">
        <f>VLOOKUP($A42,CODIGOS!$B:$D,2,FALSE)</f>
        <v>1190</v>
      </c>
      <c r="I42" s="147">
        <f>IF($H42="S/STOCK","",$J42/$I$2)</f>
        <v>73.230769230769241</v>
      </c>
      <c r="J42" s="53">
        <f t="shared" si="8"/>
        <v>14646.153846153848</v>
      </c>
      <c r="K42" s="131">
        <f>VLOOKUP($B42,CODIGOS!$A:$K,8,0)*$G42*1000</f>
        <v>7.2656000000000001</v>
      </c>
      <c r="L42" s="132">
        <f>VLOOKUP($B42,CODIGOS!$A:$K,9,0)*$G42*1000</f>
        <v>0.65007999999999988</v>
      </c>
      <c r="M42" s="132">
        <f>VLOOKUP($B42,CODIGOS!$A:$K,10,0)*$G42*1000</f>
        <v>0.15296000000000001</v>
      </c>
      <c r="N42" s="133">
        <f>VLOOKUP($B42,CODIGOS!$A:$K,11,0)*$G42*1000</f>
        <v>0.84128000000000003</v>
      </c>
    </row>
    <row r="43" spans="1:14" x14ac:dyDescent="0.2">
      <c r="A43" s="248" t="s">
        <v>513</v>
      </c>
      <c r="B43" s="122" t="str">
        <f>VLOOKUP($A43,NSN!$A:$B,2,FALSE)</f>
        <v>V000034</v>
      </c>
      <c r="C43" s="123" t="str">
        <f>VLOOKUP($A43,CODIGOS!$B:$E,4,FALSE)</f>
        <v>AT</v>
      </c>
      <c r="D43" s="124">
        <f t="shared" si="9"/>
        <v>3.2</v>
      </c>
      <c r="E43" s="124" t="str">
        <f>IF(VLOOKUP($B43,CODIGOS!$A:$F,6,0)&lt;&gt;1000,(($F43*$I$2)/VLOOKUP($B43,CODIGOS!$A:$F,6,0)),"")</f>
        <v/>
      </c>
      <c r="F43" s="504">
        <v>40</v>
      </c>
      <c r="G43" s="135">
        <f>(F43/1000)*VLOOKUP($B43,CODIGOS!$A:$G,7,0)</f>
        <v>3.5040000000000002E-2</v>
      </c>
      <c r="H43" s="24">
        <f>VLOOKUP($A43,CODIGOS!$B:$D,2,FALSE)</f>
        <v>1311</v>
      </c>
      <c r="I43" s="147">
        <f>IF($H43="S/STOCK","",$J43/$I$2)</f>
        <v>20.975999999999999</v>
      </c>
      <c r="J43" s="53">
        <f t="shared" si="8"/>
        <v>4195.2</v>
      </c>
      <c r="K43" s="131">
        <f>VLOOKUP($B43,CODIGOS!$A:$K,8,0)*$G43*1000</f>
        <v>14.366400000000001</v>
      </c>
      <c r="L43" s="132">
        <f>VLOOKUP($B43,CODIGOS!$A:$K,9,0)*$G43*1000</f>
        <v>0.66576000000000002</v>
      </c>
      <c r="M43" s="132">
        <f>VLOOKUP($B43,CODIGOS!$A:$K,10,0)*$G43*1000</f>
        <v>7.0080000000000003E-2</v>
      </c>
      <c r="N43" s="133">
        <f>VLOOKUP($B43,CODIGOS!$A:$K,11,0)*$G43*1000</f>
        <v>2.76816</v>
      </c>
    </row>
    <row r="44" spans="1:14" x14ac:dyDescent="0.2">
      <c r="A44" s="248" t="s">
        <v>2028</v>
      </c>
      <c r="B44" s="122" t="str">
        <f>VLOOKUP($A44,NSN!$A:$B,2,FALSE)</f>
        <v>C902636</v>
      </c>
      <c r="C44" s="123" t="str">
        <f>VLOOKUP($A44,CODIGOS!$B:$E,4,FALSE)</f>
        <v>900 ML</v>
      </c>
      <c r="D44" s="124">
        <f t="shared" si="9"/>
        <v>0.4</v>
      </c>
      <c r="E44" s="124">
        <f>IF(VLOOKUP($B44,CODIGOS!$A:$F,6,0)&lt;&gt;1000,(($F44*$I$2)/VLOOKUP($B44,CODIGOS!$A:$F,6,0)),"")</f>
        <v>1.1111111111111112</v>
      </c>
      <c r="F44" s="506">
        <v>5</v>
      </c>
      <c r="G44" s="135">
        <f>(F44/1000)*VLOOKUP($B44,CODIGOS!$A:$G,7,0)</f>
        <v>5.0000000000000001E-3</v>
      </c>
      <c r="H44" s="24">
        <f>VLOOKUP($A44,CODIGOS!$B:$D,2,FALSE)</f>
        <v>1500</v>
      </c>
      <c r="I44" s="147">
        <f>IF($H44="S/STOCK","",$J44/$I$2)</f>
        <v>8.3333333333333339</v>
      </c>
      <c r="J44" s="53">
        <f t="shared" si="8"/>
        <v>1666.6666666666667</v>
      </c>
      <c r="K44" s="131">
        <f>VLOOKUP($B44,CODIGOS!$A:$K,8,0)*$G44*1000</f>
        <v>44.2</v>
      </c>
      <c r="L44" s="132">
        <f>VLOOKUP($B44,CODIGOS!$A:$K,9,0)*$G44*1000</f>
        <v>0</v>
      </c>
      <c r="M44" s="132">
        <f>VLOOKUP($B44,CODIGOS!$A:$K,10,0)*$G44*1000</f>
        <v>5</v>
      </c>
      <c r="N44" s="133">
        <f>VLOOKUP($B44,CODIGOS!$A:$K,11,0)*$G44*1000</f>
        <v>0</v>
      </c>
    </row>
    <row r="45" spans="1:14" x14ac:dyDescent="0.2">
      <c r="A45" s="248" t="s">
        <v>653</v>
      </c>
      <c r="B45" s="122" t="str">
        <f>VLOOKUP($A45,NSN!$A:$B,2,FALSE)</f>
        <v>C000528</v>
      </c>
      <c r="C45" s="123" t="str">
        <f>VLOOKUP($A45,CODIGOS!$B:$E,4,FALSE)</f>
        <v>KG</v>
      </c>
      <c r="D45" s="124">
        <f t="shared" si="9"/>
        <v>0.04</v>
      </c>
      <c r="E45" s="124" t="str">
        <f>IF(VLOOKUP($B45,CODIGOS!$A:$F,6,0)&lt;&gt;1000,(($F45*$I$3)/VLOOKUP($B45,CODIGOS!$A:$F,6,0)),"")</f>
        <v/>
      </c>
      <c r="F45" s="501">
        <v>0.5</v>
      </c>
      <c r="G45" s="125">
        <f>(F45/1000)*VLOOKUP($B45,CODIGOS!$A:$G,7,0)</f>
        <v>5.0000000000000001E-4</v>
      </c>
      <c r="H45" s="24">
        <f>VLOOKUP($A45,CODIGOS!$B:$D,2,FALSE)</f>
        <v>375</v>
      </c>
      <c r="I45" s="24">
        <f t="shared" ref="I45:I56" si="10">IF($H45="S/STOCK","",$J45/$I$3)</f>
        <v>0.1875</v>
      </c>
      <c r="J45" s="24">
        <f t="shared" si="8"/>
        <v>15</v>
      </c>
      <c r="K45" s="125">
        <f>VLOOKUP($B45,CODIGOS!$A:$K,8,0)*$G45*1000</f>
        <v>0</v>
      </c>
      <c r="L45" s="125">
        <f>VLOOKUP($B45,CODIGOS!$A:$K,9,0)*$G45*1000</f>
        <v>0</v>
      </c>
      <c r="M45" s="125">
        <f>VLOOKUP($B45,CODIGOS!$A:$K,10,0)*$G45*1000</f>
        <v>0</v>
      </c>
      <c r="N45" s="221">
        <f>VLOOKUP($B45,CODIGOS!$A:$K,11,0)*$G45*1000</f>
        <v>0</v>
      </c>
    </row>
    <row r="46" spans="1:14" x14ac:dyDescent="0.2">
      <c r="A46" s="248" t="s">
        <v>470</v>
      </c>
      <c r="B46" s="122" t="str">
        <f>VLOOKUP($A46,NSN!$A:$B,2,FALSE)</f>
        <v>V001129</v>
      </c>
      <c r="C46" s="123" t="str">
        <f>VLOOKUP($A46,CODIGOS!$B:$E,4,FALSE)</f>
        <v>500 cc</v>
      </c>
      <c r="D46" s="124">
        <f t="shared" si="9"/>
        <v>0.8</v>
      </c>
      <c r="E46" s="124">
        <f>IF(VLOOKUP($B46,CODIGOS!$A:$F,6,0)&lt;&gt;1000,(($F46*$I$3)/VLOOKUP($B46,CODIGOS!$A:$F,6,0)),"")</f>
        <v>1.6</v>
      </c>
      <c r="F46" s="512">
        <v>10</v>
      </c>
      <c r="G46" s="125">
        <f>(F46/1000)*VLOOKUP($B46,CODIGOS!$A:$G,7,0)</f>
        <v>0.01</v>
      </c>
      <c r="H46" s="24">
        <f>VLOOKUP($A46,CODIGOS!$B:$D,2,FALSE)</f>
        <v>1550</v>
      </c>
      <c r="I46" s="24">
        <f t="shared" si="10"/>
        <v>31</v>
      </c>
      <c r="J46" s="24">
        <f t="shared" si="8"/>
        <v>2480</v>
      </c>
      <c r="K46" s="125">
        <f>VLOOKUP($B46,CODIGOS!$A:$K,8,0)*$G46*1000</f>
        <v>2.5</v>
      </c>
      <c r="L46" s="125">
        <f>VLOOKUP($B46,CODIGOS!$A:$K,9,0)*$G46*1000</f>
        <v>0</v>
      </c>
      <c r="M46" s="125">
        <f>VLOOKUP($B46,CODIGOS!$A:$K,10,0)*$G46*1000</f>
        <v>0.01</v>
      </c>
      <c r="N46" s="221">
        <f>VLOOKUP($B46,CODIGOS!$A:$K,11,0)*$G46*1000</f>
        <v>9.370000000000001</v>
      </c>
    </row>
    <row r="47" spans="1:14" x14ac:dyDescent="0.2">
      <c r="A47" s="248" t="s">
        <v>432</v>
      </c>
      <c r="B47" s="122" t="str">
        <f>VLOOKUP($A47,NSN!$A:$B,2,FALSE)</f>
        <v>C000010</v>
      </c>
      <c r="C47" s="123" t="str">
        <f>VLOOKUP($A47,CODIGOS!$B:$E,4,FALSE)</f>
        <v>KG</v>
      </c>
      <c r="D47" s="124">
        <f t="shared" si="9"/>
        <v>13.6</v>
      </c>
      <c r="E47" s="124" t="str">
        <f>IF(VLOOKUP($B47,CODIGOS!$A:$F,6,0)&lt;&gt;1000,(($F47*$I$3)/VLOOKUP($B47,CODIGOS!$A:$F,6,0)),"")</f>
        <v/>
      </c>
      <c r="F47" s="512">
        <v>170</v>
      </c>
      <c r="G47" s="125">
        <f>(F47/1000)*VLOOKUP($B47,CODIGOS!$A:$G,7,0)</f>
        <v>0.12036000000000001</v>
      </c>
      <c r="H47" s="24">
        <f>VLOOKUP($A47,CODIGOS!$B:$D,2,FALSE)</f>
        <v>5890</v>
      </c>
      <c r="I47" s="24">
        <f t="shared" si="10"/>
        <v>1001.3</v>
      </c>
      <c r="J47" s="24">
        <f t="shared" si="8"/>
        <v>80104</v>
      </c>
      <c r="K47" s="125">
        <f>VLOOKUP($B47,CODIGOS!$A:$K,8,0)*$G47*1000</f>
        <v>152.85720000000003</v>
      </c>
      <c r="L47" s="125">
        <f>VLOOKUP($B47,CODIGOS!$A:$K,9,0)*$G47*1000</f>
        <v>25.51632</v>
      </c>
      <c r="M47" s="125">
        <f>VLOOKUP($B47,CODIGOS!$A:$K,10,0)*$G47*1000</f>
        <v>3.3700799999999997</v>
      </c>
      <c r="N47" s="221">
        <f>VLOOKUP($B47,CODIGOS!$A:$K,11,0)*$G47*1000</f>
        <v>5.1754799999999994</v>
      </c>
    </row>
    <row r="48" spans="1:14" x14ac:dyDescent="0.2">
      <c r="A48" s="248" t="s">
        <v>56</v>
      </c>
      <c r="B48" s="122" t="str">
        <f>VLOOKUP($A48,NSN!$A:$B,2,FALSE)</f>
        <v>C000249</v>
      </c>
      <c r="C48" s="123" t="str">
        <f>VLOOKUP($A48,CODIGOS!$B:$E,4,FALSE)</f>
        <v>KG</v>
      </c>
      <c r="D48" s="124">
        <f t="shared" si="9"/>
        <v>1.6</v>
      </c>
      <c r="E48" s="124" t="str">
        <f>IF(VLOOKUP($B48,CODIGOS!$A:$F,6,0)&lt;&gt;1000,(($F48*$I$3)/VLOOKUP($B48,CODIGOS!$A:$F,6,0)),"")</f>
        <v/>
      </c>
      <c r="F48" s="501">
        <v>20</v>
      </c>
      <c r="G48" s="125">
        <f>(F48/1000)*VLOOKUP($B48,CODIGOS!$A:$G,7,0)</f>
        <v>1.7819999999999999E-2</v>
      </c>
      <c r="H48" s="24">
        <f>VLOOKUP($A48,CODIGOS!$B:$D,2,FALSE)</f>
        <v>640</v>
      </c>
      <c r="I48" s="24">
        <f t="shared" si="10"/>
        <v>12.8</v>
      </c>
      <c r="J48" s="24">
        <f t="shared" si="8"/>
        <v>1024</v>
      </c>
      <c r="K48" s="125">
        <f>VLOOKUP($B48,CODIGOS!$A:$K,8,0)*$G48*1000</f>
        <v>7.6625999999999994</v>
      </c>
      <c r="L48" s="125">
        <f>VLOOKUP($B48,CODIGOS!$A:$K,9,0)*$G48*1000</f>
        <v>0.14255999999999999</v>
      </c>
      <c r="M48" s="125">
        <f>VLOOKUP($B48,CODIGOS!$A:$K,10,0)*$G48*1000</f>
        <v>3.5639999999999998E-2</v>
      </c>
      <c r="N48" s="221">
        <f>VLOOKUP($B48,CODIGOS!$A:$K,11,0)*$G48*1000</f>
        <v>1.71072</v>
      </c>
    </row>
    <row r="49" spans="1:14" x14ac:dyDescent="0.2">
      <c r="A49" s="248" t="s">
        <v>199</v>
      </c>
      <c r="B49" s="122" t="str">
        <f>VLOOKUP($A49,NSN!$A:$B,2,FALSE)</f>
        <v>V000330</v>
      </c>
      <c r="C49" s="123" t="str">
        <f>VLOOKUP($A49,CODIGOS!$B:$E,4,FALSE)</f>
        <v>KG</v>
      </c>
      <c r="D49" s="124">
        <f t="shared" si="9"/>
        <v>1.6</v>
      </c>
      <c r="E49" s="124" t="str">
        <f>IF(VLOOKUP($B49,CODIGOS!$A:$F,6,0)&lt;&gt;1000,(($F49*$I$3)/VLOOKUP($B49,CODIGOS!$A:$F,6,0)),"")</f>
        <v/>
      </c>
      <c r="F49" s="506">
        <v>20</v>
      </c>
      <c r="G49" s="135">
        <f>(F49/1000)*VLOOKUP($B49,CODIGOS!$A:$G,7,0)</f>
        <v>1.804E-2</v>
      </c>
      <c r="H49" s="24">
        <f>VLOOKUP($A49,CODIGOS!$B:$D,2,FALSE)</f>
        <v>1287</v>
      </c>
      <c r="I49" s="24">
        <f t="shared" si="10"/>
        <v>25.740000000000002</v>
      </c>
      <c r="J49" s="53">
        <f t="shared" ref="J49:J56" si="11">IF(H49="S/STOCK","",IF($E49="",$D49*$H49,$E49*$H49))</f>
        <v>2059.2000000000003</v>
      </c>
      <c r="K49" s="131">
        <f>VLOOKUP($B49,CODIGOS!$A:$K,8,0)*$G49*1000</f>
        <v>15.5144</v>
      </c>
      <c r="L49" s="132">
        <f>VLOOKUP($B49,CODIGOS!$A:$K,9,0)*$G49*1000</f>
        <v>0.16236</v>
      </c>
      <c r="M49" s="132">
        <f>VLOOKUP($B49,CODIGOS!$A:$K,10,0)*$G49*1000</f>
        <v>9.0200000000000016E-2</v>
      </c>
      <c r="N49" s="133">
        <f>VLOOKUP($B49,CODIGOS!$A:$K,11,0)*$G49*1000</f>
        <v>1.4612400000000001</v>
      </c>
    </row>
    <row r="50" spans="1:14" x14ac:dyDescent="0.2">
      <c r="A50" s="248" t="s">
        <v>16</v>
      </c>
      <c r="B50" s="122" t="str">
        <f>VLOOKUP($A50,NSN!$A:$B,2,FALSE)</f>
        <v>V000332</v>
      </c>
      <c r="C50" s="123" t="str">
        <f>VLOOKUP($A50,CODIGOS!$B:$E,4,FALSE)</f>
        <v>KG</v>
      </c>
      <c r="D50" s="124">
        <f t="shared" si="9"/>
        <v>4</v>
      </c>
      <c r="E50" s="124" t="str">
        <f>IF(VLOOKUP($B50,CODIGOS!$A:$F,6,0)&lt;&gt;1000,(($F50*$I$3)/VLOOKUP($B50,CODIGOS!$A:$F,6,0)),"")</f>
        <v/>
      </c>
      <c r="F50" s="501">
        <v>50</v>
      </c>
      <c r="G50" s="125">
        <f>(F50/1000)*VLOOKUP($B50,CODIGOS!$A:$G,7,0)</f>
        <v>4.6850000000000003E-2</v>
      </c>
      <c r="H50" s="24">
        <f>VLOOKUP($A50,CODIGOS!$B:$D,2,FALSE)</f>
        <v>1456</v>
      </c>
      <c r="I50" s="24">
        <f t="shared" si="10"/>
        <v>72.8</v>
      </c>
      <c r="J50" s="24">
        <f t="shared" si="11"/>
        <v>5824</v>
      </c>
      <c r="K50" s="125">
        <f>VLOOKUP($B50,CODIGOS!$A:$K,8,0)*$G50*1000</f>
        <v>15.929000000000002</v>
      </c>
      <c r="L50" s="125">
        <f>VLOOKUP($B50,CODIGOS!$A:$K,9,0)*$G50*1000</f>
        <v>9.3700000000000006E-2</v>
      </c>
      <c r="M50" s="125">
        <f>VLOOKUP($B50,CODIGOS!$A:$K,10,0)*$G50*1000</f>
        <v>0.28110000000000002</v>
      </c>
      <c r="N50" s="221">
        <f>VLOOKUP($B50,CODIGOS!$A:$K,11,0)*$G50*1000</f>
        <v>3.2795000000000001</v>
      </c>
    </row>
    <row r="51" spans="1:14" x14ac:dyDescent="0.2">
      <c r="A51" s="248" t="s">
        <v>624</v>
      </c>
      <c r="B51" s="122" t="str">
        <f>VLOOKUP($A51,NSN!$A:$B,2,FALSE)</f>
        <v>C000801</v>
      </c>
      <c r="C51" s="123" t="str">
        <f>VLOOKUP($A51,CODIGOS!$B:$E,4,FALSE)</f>
        <v>KG</v>
      </c>
      <c r="D51" s="124">
        <f t="shared" si="9"/>
        <v>16</v>
      </c>
      <c r="E51" s="124" t="str">
        <f>IF(VLOOKUP($B51,CODIGOS!$A:$F,6,0)&lt;&gt;1000,(($F51*$I$3)/VLOOKUP($B51,CODIGOS!$A:$F,6,0)),"")</f>
        <v/>
      </c>
      <c r="F51" s="501">
        <v>200</v>
      </c>
      <c r="G51" s="125">
        <f>(F51/1000)*VLOOKUP($B51,CODIGOS!$A:$G,7,0)</f>
        <v>0.15740000000000001</v>
      </c>
      <c r="H51" s="24">
        <f>VLOOKUP($A51,CODIGOS!$B:$D,2,FALSE)</f>
        <v>674</v>
      </c>
      <c r="I51" s="24">
        <f t="shared" si="10"/>
        <v>134.80000000000001</v>
      </c>
      <c r="J51" s="24">
        <f t="shared" ref="J51:J53" si="12">IF(H51="S/STOCK","",IF($E51="",$D51*$H51,$E51*$H51))</f>
        <v>10784</v>
      </c>
      <c r="K51" s="125">
        <f>VLOOKUP($B51,CODIGOS!$A:$K,8,0)*$G51*1000</f>
        <v>125.92</v>
      </c>
      <c r="L51" s="125">
        <f>VLOOKUP($B51,CODIGOS!$A:$K,9,0)*$G51*1000</f>
        <v>4.8794000000000004</v>
      </c>
      <c r="M51" s="125">
        <f>VLOOKUP($B51,CODIGOS!$A:$K,10,0)*$G51*1000</f>
        <v>0.31480000000000002</v>
      </c>
      <c r="N51" s="221">
        <f>VLOOKUP($B51,CODIGOS!$A:$K,11,0)*$G51*1000</f>
        <v>25.971000000000004</v>
      </c>
    </row>
    <row r="52" spans="1:14" x14ac:dyDescent="0.2">
      <c r="A52" s="248" t="s">
        <v>423</v>
      </c>
      <c r="B52" s="122" t="str">
        <f>VLOOKUP($A52,NSN!$A:$B,2,FALSE)</f>
        <v>C902685</v>
      </c>
      <c r="C52" s="123" t="str">
        <f>VLOOKUP($A52,CODIGOS!$B:$E,4,FALSE)</f>
        <v>KG</v>
      </c>
      <c r="D52" s="124">
        <f t="shared" si="9"/>
        <v>4.8</v>
      </c>
      <c r="E52" s="124" t="str">
        <f>IF(VLOOKUP($B52,CODIGOS!$A:$F,6,0)&lt;&gt;1000,(($F52*$I$3)/VLOOKUP($B52,CODIGOS!$A:$F,6,0)),"")</f>
        <v/>
      </c>
      <c r="F52" s="506">
        <v>60</v>
      </c>
      <c r="G52" s="135">
        <f>(F52/1000)*VLOOKUP($B52,CODIGOS!$A:$G,7,0)</f>
        <v>0.06</v>
      </c>
      <c r="H52" s="24">
        <f>VLOOKUP($A52,CODIGOS!$B:$D,2,FALSE)</f>
        <v>1858</v>
      </c>
      <c r="I52" s="24">
        <f t="shared" si="10"/>
        <v>111.47999999999999</v>
      </c>
      <c r="J52" s="53">
        <f t="shared" si="12"/>
        <v>8918.4</v>
      </c>
      <c r="K52" s="131">
        <f>VLOOKUP($B52,CODIGOS!$A:$K,8,0)*$G52*1000</f>
        <v>54.6</v>
      </c>
      <c r="L52" s="132">
        <f>VLOOKUP($B52,CODIGOS!$A:$K,9,0)*$G52*1000</f>
        <v>1.974</v>
      </c>
      <c r="M52" s="132">
        <f>VLOOKUP($B52,CODIGOS!$A:$K,10,0)*$G52*1000</f>
        <v>0.21</v>
      </c>
      <c r="N52" s="133">
        <f>VLOOKUP($B52,CODIGOS!$A:$K,11,0)*$G52*1000</f>
        <v>7.3380000000000001</v>
      </c>
    </row>
    <row r="53" spans="1:14" x14ac:dyDescent="0.2">
      <c r="A53" s="248" t="s">
        <v>124</v>
      </c>
      <c r="B53" s="122" t="str">
        <f>VLOOKUP($A53,NSN!$A:$B,2,FALSE)</f>
        <v>V000006</v>
      </c>
      <c r="C53" s="123" t="str">
        <f>VLOOKUP($A53,CODIGOS!$B:$E,4,FALSE)</f>
        <v>AT 640 gr</v>
      </c>
      <c r="D53" s="124">
        <f t="shared" si="9"/>
        <v>1.6</v>
      </c>
      <c r="E53" s="124">
        <f>IF(VLOOKUP($B53,CODIGOS!$A:$F,6,0)&lt;&gt;1000,(($F53*$I$3)/VLOOKUP($B53,CODIGOS!$A:$F,6,0)),"")</f>
        <v>2.5</v>
      </c>
      <c r="F53" s="501">
        <v>20</v>
      </c>
      <c r="G53" s="125">
        <f>(F53/1000)*VLOOKUP($B53,CODIGOS!$A:$G,7,0)</f>
        <v>1.6760000000000001E-2</v>
      </c>
      <c r="H53" s="24">
        <f>VLOOKUP($A53,CODIGOS!$B:$D,2,FALSE)</f>
        <v>946</v>
      </c>
      <c r="I53" s="24">
        <f t="shared" si="10"/>
        <v>29.5625</v>
      </c>
      <c r="J53" s="24">
        <f t="shared" si="12"/>
        <v>2365</v>
      </c>
      <c r="K53" s="125">
        <f>VLOOKUP($B53,CODIGOS!$A:$K,8,0)*$G53*1000</f>
        <v>4.8604000000000003</v>
      </c>
      <c r="L53" s="125">
        <f>VLOOKUP($B53,CODIGOS!$A:$K,9,0)*$G53*1000</f>
        <v>0.21788000000000002</v>
      </c>
      <c r="M53" s="125">
        <f>VLOOKUP($B53,CODIGOS!$A:$K,10,0)*$G53*1000</f>
        <v>6.7040000000000002E-2</v>
      </c>
      <c r="N53" s="221">
        <f>VLOOKUP($B53,CODIGOS!$A:$K,11,0)*$G53*1000</f>
        <v>0.85475999999999996</v>
      </c>
    </row>
    <row r="54" spans="1:14" x14ac:dyDescent="0.2">
      <c r="A54" s="248" t="s">
        <v>11</v>
      </c>
      <c r="B54" s="122" t="str">
        <f>VLOOKUP($A54,NSN!$A:$B,2,FALSE)</f>
        <v>C002832</v>
      </c>
      <c r="C54" s="123" t="str">
        <f>VLOOKUP($A54,CODIGOS!$B:$E,4,FALSE)</f>
        <v>KG</v>
      </c>
      <c r="D54" s="124">
        <f t="shared" si="9"/>
        <v>0.8</v>
      </c>
      <c r="E54" s="124" t="str">
        <f>IF(VLOOKUP($B54,CODIGOS!$A:$F,6,0)&lt;&gt;1000,(($F54*$I$3)/VLOOKUP($B54,CODIGOS!$A:$F,6,0)),"")</f>
        <v/>
      </c>
      <c r="F54" s="501">
        <v>10</v>
      </c>
      <c r="G54" s="125">
        <f>(F54/1000)*VLOOKUP($B54,CODIGOS!$A:$G,7,0)</f>
        <v>0.01</v>
      </c>
      <c r="H54" s="24">
        <f>VLOOKUP($A54,CODIGOS!$B:$D,2,FALSE)</f>
        <v>1384</v>
      </c>
      <c r="I54" s="24">
        <f t="shared" si="10"/>
        <v>13.84</v>
      </c>
      <c r="J54" s="24">
        <f t="shared" ref="J54" si="13">IF(H54="S/STOCK","",IF($E54="",$D54*$H54,$E54*$H54))</f>
        <v>1107.2</v>
      </c>
      <c r="K54" s="125">
        <f>VLOOKUP($B54,CODIGOS!$A:$K,8,0)*$G54*1000</f>
        <v>35.200000000000003</v>
      </c>
      <c r="L54" s="125">
        <f>VLOOKUP($B54,CODIGOS!$A:$K,9,0)*$G54*1000</f>
        <v>0.64</v>
      </c>
      <c r="M54" s="125">
        <f>VLOOKUP($B54,CODIGOS!$A:$K,10,0)*$G54*1000</f>
        <v>0.08</v>
      </c>
      <c r="N54" s="221">
        <f>VLOOKUP($B54,CODIGOS!$A:$K,11,0)*$G54*1000</f>
        <v>7.9700000000000015</v>
      </c>
    </row>
    <row r="55" spans="1:14" x14ac:dyDescent="0.2">
      <c r="A55" s="248" t="s">
        <v>653</v>
      </c>
      <c r="B55" s="122" t="str">
        <f>VLOOKUP($A55,NSN!$A:$B,2,FALSE)</f>
        <v>C000528</v>
      </c>
      <c r="C55" s="123" t="str">
        <f>VLOOKUP($A55,CODIGOS!$B:$E,4,FALSE)</f>
        <v>KG</v>
      </c>
      <c r="D55" s="124">
        <f t="shared" si="9"/>
        <v>0.04</v>
      </c>
      <c r="E55" s="124" t="str">
        <f>IF(VLOOKUP($B55,CODIGOS!$A:$F,6,0)&lt;&gt;1000,(($F55*$I$3)/VLOOKUP($B55,CODIGOS!$A:$F,6,0)),"")</f>
        <v/>
      </c>
      <c r="F55" s="512">
        <v>0.5</v>
      </c>
      <c r="G55" s="125">
        <f>(F55/1000)*VLOOKUP($B55,CODIGOS!$A:$G,7,0)</f>
        <v>5.0000000000000001E-4</v>
      </c>
      <c r="H55" s="24">
        <f>VLOOKUP($A55,CODIGOS!$B:$D,2,FALSE)</f>
        <v>375</v>
      </c>
      <c r="I55" s="24">
        <f t="shared" si="10"/>
        <v>0.1875</v>
      </c>
      <c r="J55" s="24">
        <f t="shared" si="11"/>
        <v>15</v>
      </c>
      <c r="K55" s="125">
        <f>VLOOKUP($B55,CODIGOS!$A:$K,8,0)*$G55*1000</f>
        <v>0</v>
      </c>
      <c r="L55" s="125">
        <f>VLOOKUP($B55,CODIGOS!$A:$K,9,0)*$G55*1000</f>
        <v>0</v>
      </c>
      <c r="M55" s="125">
        <f>VLOOKUP($B55,CODIGOS!$A:$K,10,0)*$G55*1000</f>
        <v>0</v>
      </c>
      <c r="N55" s="221">
        <f>VLOOKUP($B55,CODIGOS!$A:$K,11,0)*$G55*1000</f>
        <v>0</v>
      </c>
    </row>
    <row r="56" spans="1:14" x14ac:dyDescent="0.2">
      <c r="A56" s="248" t="s">
        <v>2028</v>
      </c>
      <c r="B56" s="122" t="str">
        <f>VLOOKUP($A56,NSN!$A:$B,2,FALSE)</f>
        <v>C902636</v>
      </c>
      <c r="C56" s="123" t="str">
        <f>VLOOKUP($A56,CODIGOS!$B:$E,4,FALSE)</f>
        <v>900 ML</v>
      </c>
      <c r="D56" s="124">
        <f t="shared" si="9"/>
        <v>0.4</v>
      </c>
      <c r="E56" s="124">
        <f>IF(VLOOKUP($B56,CODIGOS!$A:$F,6,0)&lt;&gt;1000,(($F56*$I$3)/VLOOKUP($B56,CODIGOS!$A:$F,6,0)),"")</f>
        <v>0.44444444444444442</v>
      </c>
      <c r="F56" s="512">
        <v>5</v>
      </c>
      <c r="G56" s="125">
        <f>(F56/1000)*VLOOKUP($B56,CODIGOS!$A:$G,7,0)</f>
        <v>5.0000000000000001E-3</v>
      </c>
      <c r="H56" s="24">
        <f>VLOOKUP($A56,CODIGOS!$B:$D,2,FALSE)</f>
        <v>1500</v>
      </c>
      <c r="I56" s="24">
        <f t="shared" si="10"/>
        <v>8.3333333333333321</v>
      </c>
      <c r="J56" s="24">
        <f t="shared" si="11"/>
        <v>666.66666666666663</v>
      </c>
      <c r="K56" s="125">
        <f>VLOOKUP($B56,CODIGOS!$A:$K,8,0)*$G56*1000</f>
        <v>44.2</v>
      </c>
      <c r="L56" s="125">
        <f>VLOOKUP($B56,CODIGOS!$A:$K,9,0)*$G56*1000</f>
        <v>0</v>
      </c>
      <c r="M56" s="125">
        <f>VLOOKUP($B56,CODIGOS!$A:$K,10,0)*$G56*1000</f>
        <v>5</v>
      </c>
      <c r="N56" s="221">
        <f>VLOOKUP($B56,CODIGOS!$A:$K,11,0)*$G56*1000</f>
        <v>0</v>
      </c>
    </row>
    <row r="57" spans="1:14" ht="13.5" thickBot="1" x14ac:dyDescent="0.25">
      <c r="A57" s="248" t="s">
        <v>318</v>
      </c>
      <c r="B57" s="148" t="str">
        <f>VLOOKUP($A57,NSN!$A:$B,2,FALSE)</f>
        <v>C902855</v>
      </c>
      <c r="C57" s="149" t="str">
        <f>VLOOKUP($A57,CODIGOS!$B:$E,4,FALSE)</f>
        <v>KG</v>
      </c>
      <c r="D57" s="150">
        <f>($F57*$I$3)/1000</f>
        <v>1.1200000000000001</v>
      </c>
      <c r="E57" s="150" t="str">
        <f>IF(VLOOKUP($B57,CODIGOS!$A:$F,6,0)&lt;&gt;1000,(($F57*$I$3)/VLOOKUP($B57,CODIGOS!$A:$F,6,0)),"")</f>
        <v/>
      </c>
      <c r="F57" s="515">
        <v>14</v>
      </c>
      <c r="G57" s="137">
        <f>(F57/1000)*VLOOKUP($B57,CODIGOS!$A:$G,7,0)</f>
        <v>1.4E-2</v>
      </c>
      <c r="H57" s="222">
        <f>VLOOKUP($A57,CODIGOS!$B:$D,2,FALSE)</f>
        <v>4034</v>
      </c>
      <c r="I57" s="222">
        <f>IF($H57="S/STOCK","",$J57/$I$3)</f>
        <v>56.476000000000013</v>
      </c>
      <c r="J57" s="222">
        <f t="shared" si="8"/>
        <v>4518.0800000000008</v>
      </c>
      <c r="K57" s="137">
        <f>VLOOKUP($B57,CODIGOS!$A:$K,8,0)*$G57*1000</f>
        <v>50.960000000000008</v>
      </c>
      <c r="L57" s="137">
        <f>VLOOKUP($B57,CODIGOS!$A:$K,9,0)*$G57*1000</f>
        <v>3.0379999999999998</v>
      </c>
      <c r="M57" s="137">
        <f>VLOOKUP($B57,CODIGOS!$A:$K,10,0)*$G57*1000</f>
        <v>0</v>
      </c>
      <c r="N57" s="223">
        <f>VLOOKUP($B57,CODIGOS!$A:$K,11,0)*$G57*1000</f>
        <v>7.8819999999999997</v>
      </c>
    </row>
    <row r="58" spans="1:14" ht="13.5" thickBot="1" x14ac:dyDescent="0.25">
      <c r="A58" s="17" t="s">
        <v>627</v>
      </c>
      <c r="B58" s="33"/>
      <c r="C58" s="18"/>
      <c r="D58" s="126"/>
      <c r="E58" s="126"/>
      <c r="F58" s="127"/>
      <c r="G58" s="19"/>
      <c r="H58" s="41"/>
      <c r="I58" s="249">
        <f t="shared" ref="I58:N58" si="14">SUM(I40:I57)</f>
        <v>1708.1129358974358</v>
      </c>
      <c r="J58" s="250">
        <f t="shared" si="14"/>
        <v>148953.84717948714</v>
      </c>
      <c r="K58" s="251">
        <f t="shared" si="14"/>
        <v>755.07560000000024</v>
      </c>
      <c r="L58" s="251">
        <f t="shared" si="14"/>
        <v>42.080059999999989</v>
      </c>
      <c r="M58" s="251">
        <f t="shared" si="14"/>
        <v>16.681900000000002</v>
      </c>
      <c r="N58" s="252">
        <f t="shared" si="14"/>
        <v>110.79814</v>
      </c>
    </row>
    <row r="59" spans="1:14" ht="13.5" thickBot="1" x14ac:dyDescent="0.25">
      <c r="A59" s="17" t="s">
        <v>627</v>
      </c>
      <c r="B59" s="17"/>
      <c r="C59" s="18"/>
      <c r="D59" s="19"/>
      <c r="E59" s="19"/>
      <c r="F59" s="19"/>
      <c r="G59" s="19"/>
      <c r="H59" s="26"/>
      <c r="I59" s="42"/>
      <c r="J59" s="42" t="s">
        <v>892</v>
      </c>
      <c r="K59" s="232">
        <f>K20+K38+K58</f>
        <v>2066.9518000000003</v>
      </c>
      <c r="L59" s="233">
        <f>L20+L38+L58</f>
        <v>92.948459999999983</v>
      </c>
      <c r="M59" s="233">
        <f>M20+M38+M58</f>
        <v>46.717659999999995</v>
      </c>
      <c r="N59" s="234">
        <f>N20+N38+N58</f>
        <v>327.68331999999998</v>
      </c>
    </row>
    <row r="60" spans="1:14" ht="13.5" thickBot="1" x14ac:dyDescent="0.25">
      <c r="A60" s="17" t="s">
        <v>627</v>
      </c>
      <c r="B60" s="17"/>
      <c r="C60" s="17"/>
      <c r="D60" s="19"/>
      <c r="E60" s="19"/>
      <c r="F60" s="19"/>
      <c r="G60" s="19"/>
      <c r="H60" s="19"/>
      <c r="I60" s="19"/>
      <c r="J60" s="22"/>
      <c r="K60" s="22"/>
      <c r="L60" s="17"/>
      <c r="M60" s="17"/>
      <c r="N60" s="17"/>
    </row>
    <row r="61" spans="1:14" ht="26.25" thickBot="1" x14ac:dyDescent="0.25">
      <c r="A61" s="99" t="s">
        <v>17</v>
      </c>
      <c r="B61" s="100" t="s">
        <v>94</v>
      </c>
      <c r="C61" s="101" t="s">
        <v>18</v>
      </c>
      <c r="D61" s="101" t="s">
        <v>103</v>
      </c>
      <c r="E61" s="101"/>
      <c r="F61" s="101" t="s">
        <v>891</v>
      </c>
      <c r="G61" s="101" t="s">
        <v>91</v>
      </c>
      <c r="H61" s="101" t="s">
        <v>19</v>
      </c>
      <c r="I61" s="101" t="s">
        <v>45</v>
      </c>
      <c r="J61" s="102" t="s">
        <v>20</v>
      </c>
      <c r="K61" s="102" t="s">
        <v>43</v>
      </c>
      <c r="L61" s="103" t="s">
        <v>44</v>
      </c>
      <c r="M61" s="104" t="s">
        <v>207</v>
      </c>
      <c r="N61" s="105" t="s">
        <v>208</v>
      </c>
    </row>
    <row r="62" spans="1:14" ht="13.5" thickBot="1" x14ac:dyDescent="0.25">
      <c r="A62" s="106" t="s">
        <v>216</v>
      </c>
      <c r="B62" s="107"/>
      <c r="C62" s="107"/>
      <c r="D62" s="107"/>
      <c r="E62" s="107"/>
      <c r="F62" s="107"/>
      <c r="G62" s="107"/>
      <c r="H62" s="107"/>
      <c r="I62" s="107"/>
      <c r="J62" s="107"/>
      <c r="K62" s="107"/>
      <c r="L62" s="107"/>
      <c r="M62" s="107"/>
      <c r="N62" s="108"/>
    </row>
    <row r="63" spans="1:14" x14ac:dyDescent="0.2">
      <c r="A63" s="248" t="s">
        <v>410</v>
      </c>
      <c r="B63" s="141" t="str">
        <f>VLOOKUP($A63,NSN!$A:$B,2,FALSE)</f>
        <v>C000367</v>
      </c>
      <c r="C63" s="142" t="str">
        <f>VLOOKUP($A63,CODIGOS!$B:$E,4,FALSE)</f>
        <v>KG</v>
      </c>
      <c r="D63" s="143">
        <f>($F63*$I$3)/1000</f>
        <v>11.428800000000001</v>
      </c>
      <c r="E63" s="143" t="str">
        <f>IF(VLOOKUP($B63,CODIGOS!$A:$F,6,0)&lt;&gt;1000,(($F63*$I$3)/VLOOKUP($B63,CODIGOS!$A:$F,6,0)),"")</f>
        <v/>
      </c>
      <c r="F63" s="114">
        <v>142.86000000000001</v>
      </c>
      <c r="G63" s="144">
        <f>(F63/1000)*VLOOKUP($B63,CODIGOS!$A:$G,7,0)</f>
        <v>0.14286000000000001</v>
      </c>
      <c r="H63" s="25">
        <f>VLOOKUP($A63,CODIGOS!$B:$D,2,FALSE)</f>
        <v>794</v>
      </c>
      <c r="I63" s="25">
        <f>IF($H63="S/STOCK","",$J63/$I$3)</f>
        <v>113.43084000000002</v>
      </c>
      <c r="J63" s="25">
        <f>IF(H63="S/STOCK","",IF($E63="",$D63*$H63,$E63*$H63))</f>
        <v>9074.467200000001</v>
      </c>
      <c r="K63" s="144">
        <f>VLOOKUP($B63,CODIGOS!$A:$K,8,0)*$G63*1000</f>
        <v>497.15280000000007</v>
      </c>
      <c r="L63" s="144">
        <f>VLOOKUP($B63,CODIGOS!$A:$K,9,0)*$G63*1000</f>
        <v>11.428800000000001</v>
      </c>
      <c r="M63" s="144">
        <f>VLOOKUP($B63,CODIGOS!$A:$K,10,0)*$G63*1000</f>
        <v>1.7143200000000003</v>
      </c>
      <c r="N63" s="220">
        <f>VLOOKUP($B63,CODIGOS!$A:$K,11,0)*$G63*1000</f>
        <v>109.14504000000001</v>
      </c>
    </row>
    <row r="64" spans="1:14" x14ac:dyDescent="0.2">
      <c r="A64" s="248" t="s">
        <v>394</v>
      </c>
      <c r="B64" s="122" t="str">
        <f>VLOOKUP($A64,NSN!$A:$B,2,FALSE)</f>
        <v>C000816</v>
      </c>
      <c r="C64" s="123" t="str">
        <f>VLOOKUP($A64,CODIGOS!$B:$E,4,FALSE)</f>
        <v>KG</v>
      </c>
      <c r="D64" s="124">
        <f>($F64*$I$3)/1000</f>
        <v>0.11439999999999999</v>
      </c>
      <c r="E64" s="124" t="str">
        <f>IF(VLOOKUP($B64,CODIGOS!$A:$F,6,0)&lt;&gt;1000,(($F64*$I$3)/VLOOKUP($B64,CODIGOS!$A:$F,6,0)),"")</f>
        <v/>
      </c>
      <c r="F64" s="115">
        <v>1.43</v>
      </c>
      <c r="G64" s="125">
        <f>(F64/1000)*VLOOKUP($B64,CODIGOS!$A:$G,7,0)</f>
        <v>1.4299999999999998E-3</v>
      </c>
      <c r="H64" s="24">
        <f>VLOOKUP($A64,CODIGOS!$B:$D,2,FALSE)</f>
        <v>1128</v>
      </c>
      <c r="I64" s="24">
        <f>IF($H64="S/STOCK","",$J64/$I$3)</f>
        <v>1.6130399999999998</v>
      </c>
      <c r="J64" s="24">
        <f>IF(H64="S/STOCK","",IF($E64="",$D64*$H64,$E64*$H64))</f>
        <v>129.04319999999998</v>
      </c>
      <c r="K64" s="125">
        <f>VLOOKUP($B64,CODIGOS!$A:$K,8,0)*$G64*1000</f>
        <v>5.6913999999999989</v>
      </c>
      <c r="L64" s="125">
        <f>VLOOKUP($B64,CODIGOS!$A:$K,9,0)*$G64*1000</f>
        <v>0</v>
      </c>
      <c r="M64" s="125">
        <f>VLOOKUP($B64,CODIGOS!$A:$K,10,0)*$G64*1000</f>
        <v>0</v>
      </c>
      <c r="N64" s="221">
        <f>VLOOKUP($B64,CODIGOS!$A:$K,11,0)*$G64*1000</f>
        <v>1.4228499999999997</v>
      </c>
    </row>
    <row r="65" spans="1:14" x14ac:dyDescent="0.2">
      <c r="A65" s="248" t="s">
        <v>563</v>
      </c>
      <c r="B65" s="122" t="str">
        <f>VLOOKUP($A65,NSN!$A:$B,2,FALSE)</f>
        <v>V000518</v>
      </c>
      <c r="C65" s="123" t="str">
        <f>VLOOKUP($A65,CODIGOS!$B:$E,4,FALSE)</f>
        <v>EA</v>
      </c>
      <c r="D65" s="124">
        <f>($F65*$I$3)/1000</f>
        <v>0.68559999999999999</v>
      </c>
      <c r="E65" s="124" t="str">
        <f>IF(VLOOKUP($B65,CODIGOS!$A:$F,6,0)&lt;&gt;1000,(($F65*$I$3)/VLOOKUP($B65,CODIGOS!$A:$F,6,0)),"")</f>
        <v/>
      </c>
      <c r="F65" s="115">
        <v>8.57</v>
      </c>
      <c r="G65" s="125">
        <f>(F65/1000)*VLOOKUP($B65,CODIGOS!$A:$G,7,0)</f>
        <v>8.5699999999999995E-3</v>
      </c>
      <c r="H65" s="24">
        <f>VLOOKUP($A65,CODIGOS!$B:$D,2,FALSE)</f>
        <v>3203</v>
      </c>
      <c r="I65" s="24">
        <f>IF($H65="S/STOCK","",$J65/$I$3)</f>
        <v>27.44971</v>
      </c>
      <c r="J65" s="24">
        <f>IF(H65="S/STOCK","",IF($E65="",$D65*$H65,$E65*$H65))</f>
        <v>2195.9767999999999</v>
      </c>
      <c r="K65" s="125">
        <f>VLOOKUP($B65,CODIGOS!$A:$K,8,0)*$G65*1000</f>
        <v>76.872899999999987</v>
      </c>
      <c r="L65" s="125">
        <f>VLOOKUP($B65,CODIGOS!$A:$K,9,0)*$G65*1000</f>
        <v>0</v>
      </c>
      <c r="M65" s="125">
        <f>VLOOKUP($B65,CODIGOS!$A:$K,10,0)*$G65*1000</f>
        <v>8.5442900000000002</v>
      </c>
      <c r="N65" s="221">
        <f>VLOOKUP($B65,CODIGOS!$A:$K,11,0)*$G65*1000</f>
        <v>0</v>
      </c>
    </row>
    <row r="66" spans="1:14" x14ac:dyDescent="0.2">
      <c r="A66" s="248" t="s">
        <v>266</v>
      </c>
      <c r="B66" s="122" t="str">
        <f>VLOOKUP($A66,NSN!$A:$B,2,FALSE)</f>
        <v>V000174</v>
      </c>
      <c r="C66" s="123" t="str">
        <f>VLOOKUP($A66,CODIGOS!$B:$E,4,FALSE)</f>
        <v>KG</v>
      </c>
      <c r="D66" s="124">
        <f>($F66*$I$3)/1000</f>
        <v>0.11439999999999999</v>
      </c>
      <c r="E66" s="124" t="str">
        <f>IF(VLOOKUP($B66,CODIGOS!$A:$F,6,0)&lt;&gt;1000,(($F66*$I$3)/VLOOKUP($B66,CODIGOS!$A:$F,6,0)),"")</f>
        <v/>
      </c>
      <c r="F66" s="115">
        <v>1.43</v>
      </c>
      <c r="G66" s="125">
        <f>(F66/1000)*VLOOKUP($B66,CODIGOS!$A:$G,7,0)</f>
        <v>1.4299999999999998E-3</v>
      </c>
      <c r="H66" s="24">
        <f>VLOOKUP($A66,CODIGOS!$B:$D,2,FALSE)</f>
        <v>8887</v>
      </c>
      <c r="I66" s="24">
        <f>IF($H66="S/STOCK","",$J66/$I$3)</f>
        <v>12.708409999999999</v>
      </c>
      <c r="J66" s="24">
        <f>IF(H66="S/STOCK","",IF($E66="",$D66*$H66,$E66*$H66))</f>
        <v>1016.6727999999999</v>
      </c>
      <c r="K66" s="125">
        <f>VLOOKUP($B66,CODIGOS!$A:$K,8,0)*$G66*1000</f>
        <v>6.1489999999999991</v>
      </c>
      <c r="L66" s="125">
        <f>VLOOKUP($B66,CODIGOS!$A:$K,9,0)*$G66*1000</f>
        <v>0.67209999999999992</v>
      </c>
      <c r="M66" s="125">
        <f>VLOOKUP($B66,CODIGOS!$A:$K,10,0)*$G66*1000</f>
        <v>0.10009999999999999</v>
      </c>
      <c r="N66" s="221">
        <f>VLOOKUP($B66,CODIGOS!$A:$K,11,0)*$G66*1000</f>
        <v>0.51479999999999992</v>
      </c>
    </row>
    <row r="67" spans="1:14" ht="13.5" thickBot="1" x14ac:dyDescent="0.25">
      <c r="A67" s="248" t="s">
        <v>653</v>
      </c>
      <c r="B67" s="148" t="str">
        <f>VLOOKUP($A67,NSN!$A:$B,2,FALSE)</f>
        <v>C000528</v>
      </c>
      <c r="C67" s="149" t="str">
        <f>VLOOKUP($A67,CODIGOS!$B:$E,4,FALSE)</f>
        <v>KG</v>
      </c>
      <c r="D67" s="150">
        <f>($F67*$I$3)/1000</f>
        <v>0.16</v>
      </c>
      <c r="E67" s="150" t="str">
        <f>IF(VLOOKUP($B67,CODIGOS!$A:$F,6,0)&lt;&gt;1000,(($F67*$I$3)/VLOOKUP($B67,CODIGOS!$A:$F,6,0)),"")</f>
        <v/>
      </c>
      <c r="F67" s="116">
        <v>2</v>
      </c>
      <c r="G67" s="137">
        <f>(F67/1000)*VLOOKUP($B67,CODIGOS!$A:$G,7,0)</f>
        <v>2E-3</v>
      </c>
      <c r="H67" s="222">
        <f>VLOOKUP($A67,CODIGOS!$B:$D,2,FALSE)</f>
        <v>375</v>
      </c>
      <c r="I67" s="222">
        <f>IF($H67="S/STOCK","",$J67/$I$3)</f>
        <v>0.75</v>
      </c>
      <c r="J67" s="222">
        <f>IF(H67="S/STOCK","",IF($E67="",$D67*$H67,$E67*$H67))</f>
        <v>60</v>
      </c>
      <c r="K67" s="137">
        <f>VLOOKUP($B67,CODIGOS!$A:$K,8,0)*$G67*1000</f>
        <v>0</v>
      </c>
      <c r="L67" s="137">
        <f>VLOOKUP($B67,CODIGOS!$A:$K,9,0)*$G67*1000</f>
        <v>0</v>
      </c>
      <c r="M67" s="137">
        <f>VLOOKUP($B67,CODIGOS!$A:$K,10,0)*$G67*1000</f>
        <v>0</v>
      </c>
      <c r="N67" s="223">
        <f>VLOOKUP($B67,CODIGOS!$A:$K,11,0)*$G67*1000</f>
        <v>0</v>
      </c>
    </row>
    <row r="68" spans="1:14" ht="13.5" thickBot="1" x14ac:dyDescent="0.25">
      <c r="A68" s="17" t="s">
        <v>627</v>
      </c>
      <c r="B68" s="33"/>
      <c r="C68" s="18"/>
      <c r="D68" s="126"/>
      <c r="E68" s="126"/>
      <c r="F68" s="127"/>
      <c r="G68" s="19"/>
      <c r="H68" s="41"/>
      <c r="I68" s="224">
        <f t="shared" ref="I68:N68" si="15">SUM(I63:I67)</f>
        <v>155.952</v>
      </c>
      <c r="J68" s="225">
        <f t="shared" si="15"/>
        <v>12476.160000000002</v>
      </c>
      <c r="K68" s="226">
        <f t="shared" si="15"/>
        <v>585.86610000000007</v>
      </c>
      <c r="L68" s="226">
        <f t="shared" si="15"/>
        <v>12.100900000000001</v>
      </c>
      <c r="M68" s="226">
        <f t="shared" si="15"/>
        <v>10.35871</v>
      </c>
      <c r="N68" s="227">
        <f t="shared" si="15"/>
        <v>111.08269</v>
      </c>
    </row>
    <row r="69" spans="1:14" x14ac:dyDescent="0.2">
      <c r="A69" s="37" t="s">
        <v>627</v>
      </c>
      <c r="B69" s="33"/>
      <c r="C69" s="18"/>
      <c r="D69" s="19"/>
      <c r="E69" s="19"/>
      <c r="F69" s="19"/>
      <c r="G69" s="19"/>
      <c r="H69" s="41"/>
      <c r="I69" s="39"/>
      <c r="J69" s="39"/>
      <c r="K69" s="39"/>
      <c r="L69" s="17"/>
      <c r="M69" s="17"/>
      <c r="N69" s="17"/>
    </row>
    <row r="70" spans="1:14" x14ac:dyDescent="0.2">
      <c r="A70" s="37"/>
      <c r="B70" s="37"/>
      <c r="C70" s="37"/>
      <c r="D70" s="39"/>
      <c r="E70" s="39"/>
      <c r="F70" s="39"/>
      <c r="G70" s="39"/>
      <c r="H70" s="39"/>
      <c r="I70" s="39"/>
      <c r="J70" s="39"/>
      <c r="K70" s="39"/>
      <c r="L70" s="17"/>
      <c r="M70" s="17"/>
      <c r="N70" s="17"/>
    </row>
    <row r="71" spans="1:14" x14ac:dyDescent="0.2">
      <c r="A71" s="37"/>
      <c r="B71" s="37"/>
      <c r="C71" s="37"/>
      <c r="D71" s="39"/>
      <c r="E71" s="39"/>
      <c r="F71" s="39"/>
      <c r="G71" s="39"/>
      <c r="H71" s="39"/>
      <c r="I71" s="39"/>
      <c r="J71" s="39"/>
      <c r="K71" s="39"/>
      <c r="L71" s="17"/>
      <c r="M71" s="17"/>
      <c r="N71" s="17"/>
    </row>
    <row r="72" spans="1:14" x14ac:dyDescent="0.2">
      <c r="A72" s="37"/>
      <c r="B72" s="37"/>
      <c r="C72" s="37"/>
      <c r="D72" s="39"/>
      <c r="E72" s="39"/>
      <c r="F72" s="39"/>
      <c r="G72" s="39"/>
      <c r="H72" s="39"/>
      <c r="I72" s="39"/>
      <c r="J72" s="39"/>
      <c r="K72" s="39"/>
      <c r="L72" s="17"/>
      <c r="M72" s="17"/>
      <c r="N72" s="17"/>
    </row>
    <row r="73" spans="1:14" x14ac:dyDescent="0.2">
      <c r="A73" s="37"/>
      <c r="B73" s="37"/>
      <c r="C73" s="37"/>
      <c r="D73" s="39"/>
      <c r="E73" s="39"/>
      <c r="F73" s="39"/>
      <c r="G73" s="39"/>
      <c r="H73" s="39"/>
      <c r="I73" s="39"/>
      <c r="J73" s="39"/>
      <c r="K73" s="39"/>
      <c r="L73" s="17"/>
      <c r="M73" s="17"/>
      <c r="N73" s="17"/>
    </row>
    <row r="74" spans="1:14" x14ac:dyDescent="0.2">
      <c r="A74" s="37"/>
      <c r="B74" s="37"/>
      <c r="C74" s="37"/>
      <c r="D74" s="187"/>
      <c r="E74" s="187"/>
      <c r="F74" s="187"/>
      <c r="G74" s="39"/>
      <c r="H74" s="39"/>
      <c r="I74" s="39"/>
      <c r="J74" s="39"/>
      <c r="K74" s="39"/>
      <c r="L74" s="17"/>
      <c r="M74" s="17"/>
      <c r="N74" s="17"/>
    </row>
    <row r="75" spans="1:14" x14ac:dyDescent="0.2">
      <c r="A75" s="37"/>
      <c r="B75" s="37"/>
      <c r="C75" s="37"/>
      <c r="D75" s="187"/>
      <c r="E75" s="187"/>
      <c r="F75" s="187"/>
      <c r="G75" s="39"/>
      <c r="H75" s="39"/>
      <c r="I75" s="39"/>
      <c r="J75" s="39"/>
      <c r="K75" s="39"/>
      <c r="L75" s="17"/>
      <c r="M75" s="17"/>
      <c r="N75" s="17"/>
    </row>
    <row r="76" spans="1:14" x14ac:dyDescent="0.2">
      <c r="A76" s="37"/>
      <c r="B76" s="37"/>
      <c r="C76" s="37"/>
      <c r="D76" s="39"/>
      <c r="E76" s="39"/>
      <c r="F76" s="39"/>
      <c r="G76" s="39"/>
      <c r="H76" s="39"/>
      <c r="I76" s="39"/>
      <c r="J76" s="39"/>
      <c r="K76" s="39"/>
      <c r="L76" s="17"/>
      <c r="M76" s="17"/>
      <c r="N76" s="17"/>
    </row>
    <row r="77" spans="1:14" x14ac:dyDescent="0.2">
      <c r="A77" s="37"/>
      <c r="B77" s="37"/>
      <c r="C77" s="37"/>
      <c r="D77" s="39"/>
      <c r="E77" s="39"/>
      <c r="F77" s="39"/>
      <c r="G77" s="39"/>
      <c r="H77" s="39"/>
      <c r="I77" s="39"/>
      <c r="J77" s="39"/>
      <c r="K77" s="39"/>
      <c r="L77" s="17"/>
      <c r="M77" s="17"/>
      <c r="N77" s="17"/>
    </row>
    <row r="78" spans="1:14" x14ac:dyDescent="0.2">
      <c r="A78" s="37"/>
      <c r="B78" s="37"/>
      <c r="C78" s="37"/>
      <c r="D78" s="39"/>
      <c r="E78" s="39"/>
      <c r="F78" s="39"/>
      <c r="G78" s="39"/>
      <c r="H78" s="39"/>
      <c r="I78" s="39"/>
      <c r="J78" s="39"/>
      <c r="K78" s="39"/>
      <c r="L78" s="17"/>
      <c r="M78" s="17"/>
      <c r="N78" s="17"/>
    </row>
    <row r="79" spans="1:14" x14ac:dyDescent="0.2">
      <c r="A79" s="37"/>
      <c r="B79" s="37"/>
      <c r="C79" s="37"/>
      <c r="D79" s="39"/>
      <c r="E79" s="39"/>
      <c r="F79" s="39"/>
      <c r="G79" s="39"/>
      <c r="H79" s="39"/>
      <c r="I79" s="39"/>
      <c r="J79" s="39"/>
      <c r="K79" s="39"/>
      <c r="L79" s="17"/>
      <c r="M79" s="17"/>
      <c r="N79" s="17"/>
    </row>
    <row r="80" spans="1:14" x14ac:dyDescent="0.2">
      <c r="A80" s="37"/>
      <c r="B80" s="37"/>
      <c r="C80" s="37"/>
      <c r="D80" s="39"/>
      <c r="E80" s="39"/>
      <c r="F80" s="39"/>
      <c r="G80" s="39"/>
      <c r="H80" s="39"/>
      <c r="I80" s="39"/>
      <c r="J80" s="39"/>
      <c r="K80" s="39"/>
      <c r="L80" s="17"/>
      <c r="M80" s="17"/>
      <c r="N80" s="17"/>
    </row>
    <row r="81" spans="1:14" x14ac:dyDescent="0.2">
      <c r="A81" s="37"/>
      <c r="B81" s="37"/>
      <c r="C81" s="37"/>
      <c r="D81" s="39"/>
      <c r="E81" s="39"/>
      <c r="F81" s="39"/>
      <c r="G81" s="39"/>
      <c r="H81" s="39"/>
      <c r="I81" s="39"/>
      <c r="J81" s="39"/>
      <c r="K81" s="39"/>
      <c r="L81" s="17"/>
      <c r="M81" s="17"/>
      <c r="N81" s="17"/>
    </row>
    <row r="82" spans="1:14" x14ac:dyDescent="0.2">
      <c r="A82" s="37"/>
      <c r="B82" s="37"/>
      <c r="C82" s="37"/>
      <c r="D82" s="39"/>
      <c r="E82" s="39"/>
      <c r="F82" s="39"/>
      <c r="G82" s="39"/>
      <c r="H82" s="39"/>
      <c r="I82" s="39"/>
      <c r="J82" s="39"/>
      <c r="K82" s="39"/>
      <c r="L82" s="17"/>
      <c r="M82" s="17"/>
      <c r="N82" s="17"/>
    </row>
    <row r="83" spans="1:14" x14ac:dyDescent="0.2">
      <c r="A83" s="37"/>
      <c r="B83" s="37"/>
      <c r="C83" s="37"/>
      <c r="D83" s="39"/>
      <c r="E83" s="39"/>
      <c r="F83" s="39"/>
      <c r="G83" s="39"/>
      <c r="H83" s="39"/>
      <c r="I83" s="39"/>
      <c r="J83" s="39"/>
      <c r="K83" s="39"/>
      <c r="L83" s="17"/>
      <c r="M83" s="17"/>
      <c r="N83" s="17"/>
    </row>
    <row r="84" spans="1:14" x14ac:dyDescent="0.2">
      <c r="A84" s="37"/>
      <c r="B84" s="37"/>
      <c r="C84" s="37"/>
      <c r="D84" s="39"/>
      <c r="E84" s="39"/>
      <c r="F84" s="39"/>
      <c r="G84" s="39"/>
      <c r="H84" s="39"/>
      <c r="I84" s="39"/>
      <c r="J84" s="39"/>
      <c r="K84" s="39"/>
      <c r="L84" s="17"/>
      <c r="M84" s="17"/>
      <c r="N84" s="17"/>
    </row>
    <row r="85" spans="1:14" x14ac:dyDescent="0.2">
      <c r="A85" s="37"/>
      <c r="B85" s="37"/>
      <c r="C85" s="37"/>
      <c r="D85" s="39"/>
      <c r="E85" s="39"/>
      <c r="F85" s="39"/>
      <c r="G85" s="39"/>
      <c r="H85" s="39"/>
      <c r="I85" s="39"/>
      <c r="J85" s="39"/>
      <c r="K85" s="39"/>
      <c r="L85" s="17"/>
      <c r="M85" s="17"/>
      <c r="N85" s="17"/>
    </row>
    <row r="86" spans="1:14" x14ac:dyDescent="0.2">
      <c r="A86" s="37"/>
      <c r="B86" s="37"/>
      <c r="C86" s="37"/>
      <c r="D86" s="39"/>
      <c r="E86" s="39"/>
      <c r="F86" s="39"/>
      <c r="G86" s="39"/>
      <c r="H86" s="39"/>
      <c r="I86" s="39"/>
      <c r="J86" s="39"/>
      <c r="K86" s="39"/>
      <c r="L86" s="17"/>
      <c r="M86" s="17"/>
      <c r="N86" s="17"/>
    </row>
    <row r="87" spans="1:14" x14ac:dyDescent="0.2">
      <c r="A87" s="37"/>
      <c r="B87" s="37"/>
      <c r="C87" s="37"/>
      <c r="D87" s="39"/>
      <c r="E87" s="39"/>
      <c r="F87" s="39"/>
      <c r="G87" s="39"/>
      <c r="H87" s="39"/>
      <c r="I87" s="39"/>
      <c r="J87" s="39"/>
      <c r="K87" s="39"/>
      <c r="L87" s="17"/>
      <c r="M87" s="17"/>
      <c r="N87" s="17"/>
    </row>
    <row r="88" spans="1:14" x14ac:dyDescent="0.2">
      <c r="A88" s="37"/>
      <c r="B88" s="37"/>
      <c r="C88" s="37"/>
      <c r="D88" s="39"/>
      <c r="E88" s="39"/>
      <c r="F88" s="39"/>
      <c r="G88" s="39"/>
      <c r="H88" s="39"/>
      <c r="I88" s="39"/>
      <c r="J88" s="39"/>
      <c r="K88" s="39"/>
      <c r="L88" s="17"/>
      <c r="M88" s="17"/>
      <c r="N88" s="17"/>
    </row>
    <row r="89" spans="1:14" x14ac:dyDescent="0.2">
      <c r="A89" s="37"/>
      <c r="B89" s="37"/>
      <c r="C89" s="37"/>
      <c r="D89" s="39"/>
      <c r="E89" s="39"/>
      <c r="F89" s="39"/>
      <c r="G89" s="39"/>
      <c r="H89" s="39"/>
      <c r="I89" s="39"/>
      <c r="J89" s="39"/>
      <c r="K89" s="39"/>
      <c r="L89" s="17"/>
      <c r="M89" s="17"/>
      <c r="N89" s="17"/>
    </row>
    <row r="90" spans="1:14" x14ac:dyDescent="0.2">
      <c r="A90" s="37"/>
      <c r="B90" s="37"/>
      <c r="C90" s="37"/>
      <c r="D90" s="39"/>
      <c r="E90" s="39"/>
      <c r="F90" s="39"/>
      <c r="G90" s="39"/>
      <c r="H90" s="39"/>
      <c r="I90" s="39"/>
      <c r="J90" s="39"/>
      <c r="K90" s="39"/>
      <c r="L90" s="17"/>
      <c r="M90" s="17"/>
      <c r="N90" s="17"/>
    </row>
    <row r="91" spans="1:14" x14ac:dyDescent="0.2">
      <c r="A91" s="37"/>
      <c r="B91" s="37"/>
      <c r="C91" s="37"/>
      <c r="D91" s="39"/>
      <c r="E91" s="39"/>
      <c r="F91" s="39"/>
      <c r="G91" s="39"/>
      <c r="H91" s="39"/>
      <c r="I91" s="39"/>
      <c r="J91" s="39"/>
      <c r="K91" s="39"/>
      <c r="L91" s="17"/>
      <c r="M91" s="17"/>
      <c r="N91" s="17"/>
    </row>
    <row r="92" spans="1:14" x14ac:dyDescent="0.2">
      <c r="B92" s="37"/>
    </row>
    <row r="93" spans="1:14" x14ac:dyDescent="0.2">
      <c r="B93" s="37"/>
    </row>
    <row r="94" spans="1:14" x14ac:dyDescent="0.2">
      <c r="B94" s="37"/>
    </row>
    <row r="95" spans="1:14" x14ac:dyDescent="0.2">
      <c r="B95" s="37"/>
    </row>
    <row r="96" spans="1:14" x14ac:dyDescent="0.2">
      <c r="B96" s="37"/>
    </row>
    <row r="97" spans="2:11" x14ac:dyDescent="0.2">
      <c r="B97" s="37"/>
    </row>
    <row r="98" spans="2:11" x14ac:dyDescent="0.2">
      <c r="B98" s="37"/>
      <c r="D98" s="43"/>
      <c r="E98" s="43"/>
      <c r="F98" s="43"/>
      <c r="G98" s="43"/>
      <c r="H98" s="43"/>
      <c r="I98" s="43"/>
      <c r="J98" s="43"/>
      <c r="K98" s="43"/>
    </row>
    <row r="99" spans="2:11" x14ac:dyDescent="0.2">
      <c r="B99" s="37"/>
      <c r="D99" s="43"/>
      <c r="E99" s="43"/>
      <c r="F99" s="43"/>
      <c r="G99" s="43"/>
      <c r="H99" s="43"/>
      <c r="I99" s="43"/>
      <c r="J99" s="43"/>
      <c r="K99" s="43"/>
    </row>
    <row r="100" spans="2:11" x14ac:dyDescent="0.2">
      <c r="B100" s="37"/>
      <c r="D100" s="43"/>
      <c r="E100" s="43"/>
      <c r="F100" s="43"/>
      <c r="G100" s="43"/>
      <c r="H100" s="43"/>
      <c r="I100" s="43"/>
      <c r="J100" s="43"/>
      <c r="K100" s="43"/>
    </row>
    <row r="101" spans="2:11" x14ac:dyDescent="0.2">
      <c r="B101" s="37"/>
      <c r="D101" s="43"/>
      <c r="E101" s="43"/>
      <c r="F101" s="43"/>
      <c r="G101" s="43"/>
      <c r="H101" s="43"/>
      <c r="I101" s="43"/>
      <c r="J101" s="43"/>
      <c r="K101" s="43"/>
    </row>
    <row r="102" spans="2:11" x14ac:dyDescent="0.2">
      <c r="B102" s="37"/>
      <c r="D102" s="43"/>
      <c r="E102" s="43"/>
      <c r="F102" s="43"/>
      <c r="G102" s="43"/>
      <c r="H102" s="43"/>
      <c r="I102" s="43"/>
      <c r="J102" s="43"/>
      <c r="K102" s="43"/>
    </row>
    <row r="103" spans="2:11" x14ac:dyDescent="0.2">
      <c r="B103" s="37"/>
      <c r="D103" s="43"/>
      <c r="E103" s="43"/>
      <c r="F103" s="43"/>
      <c r="G103" s="43"/>
      <c r="H103" s="43"/>
      <c r="I103" s="43"/>
      <c r="J103" s="43"/>
      <c r="K103" s="43"/>
    </row>
    <row r="104" spans="2:11" x14ac:dyDescent="0.2">
      <c r="B104" s="37"/>
      <c r="D104" s="43"/>
      <c r="E104" s="43"/>
      <c r="F104" s="43"/>
      <c r="G104" s="43"/>
      <c r="H104" s="43"/>
      <c r="I104" s="43"/>
      <c r="J104" s="43"/>
      <c r="K104" s="43"/>
    </row>
    <row r="105" spans="2:11" x14ac:dyDescent="0.2">
      <c r="B105" s="37"/>
      <c r="D105" s="43"/>
      <c r="E105" s="43"/>
      <c r="F105" s="43"/>
      <c r="G105" s="43"/>
      <c r="H105" s="43"/>
      <c r="I105" s="43"/>
      <c r="J105" s="43"/>
      <c r="K105" s="43"/>
    </row>
    <row r="106" spans="2:11" x14ac:dyDescent="0.2">
      <c r="B106" s="37"/>
      <c r="D106" s="43"/>
      <c r="E106" s="43"/>
      <c r="F106" s="43"/>
      <c r="G106" s="43"/>
      <c r="H106" s="43"/>
      <c r="I106" s="43"/>
      <c r="J106" s="43"/>
      <c r="K106" s="43"/>
    </row>
    <row r="107" spans="2:11" x14ac:dyDescent="0.2">
      <c r="B107" s="37"/>
      <c r="D107" s="43"/>
      <c r="E107" s="43"/>
      <c r="F107" s="43"/>
      <c r="G107" s="43"/>
      <c r="H107" s="43"/>
      <c r="I107" s="43"/>
      <c r="J107" s="43"/>
      <c r="K107" s="43"/>
    </row>
    <row r="108" spans="2:11" x14ac:dyDescent="0.2">
      <c r="B108" s="94"/>
      <c r="D108" s="43"/>
      <c r="E108" s="43"/>
      <c r="F108" s="43"/>
      <c r="G108" s="43"/>
      <c r="H108" s="43"/>
      <c r="I108" s="43"/>
      <c r="J108" s="43"/>
      <c r="K108" s="43"/>
    </row>
    <row r="109" spans="2:11" x14ac:dyDescent="0.2">
      <c r="B109" s="37"/>
      <c r="D109" s="43"/>
      <c r="E109" s="43"/>
      <c r="F109" s="43"/>
      <c r="G109" s="43"/>
      <c r="H109" s="43"/>
      <c r="I109" s="43"/>
      <c r="J109" s="43"/>
      <c r="K109" s="43"/>
    </row>
    <row r="110" spans="2:11" x14ac:dyDescent="0.2">
      <c r="B110" s="37"/>
      <c r="D110" s="43"/>
      <c r="E110" s="43"/>
      <c r="F110" s="43"/>
      <c r="G110" s="43"/>
      <c r="H110" s="43"/>
      <c r="I110" s="43"/>
      <c r="J110" s="43"/>
      <c r="K110" s="43"/>
    </row>
    <row r="111" spans="2:11" x14ac:dyDescent="0.2">
      <c r="B111" s="37"/>
      <c r="D111" s="43"/>
      <c r="E111" s="43"/>
      <c r="F111" s="43"/>
      <c r="G111" s="43"/>
      <c r="H111" s="43"/>
      <c r="I111" s="43"/>
      <c r="J111" s="43"/>
      <c r="K111" s="43"/>
    </row>
    <row r="112" spans="2:11" x14ac:dyDescent="0.2">
      <c r="B112" s="37"/>
      <c r="D112" s="43"/>
      <c r="E112" s="43"/>
      <c r="F112" s="43"/>
      <c r="G112" s="43"/>
      <c r="H112" s="43"/>
      <c r="I112" s="43"/>
      <c r="J112" s="43"/>
      <c r="K112" s="43"/>
    </row>
    <row r="113" spans="2:11" x14ac:dyDescent="0.2">
      <c r="B113" s="37"/>
      <c r="D113" s="43"/>
      <c r="E113" s="43"/>
      <c r="F113" s="43"/>
      <c r="G113" s="43"/>
      <c r="H113" s="43"/>
      <c r="I113" s="43"/>
      <c r="J113" s="43"/>
      <c r="K113" s="43"/>
    </row>
    <row r="114" spans="2:11" x14ac:dyDescent="0.2">
      <c r="B114" s="37"/>
      <c r="D114" s="43"/>
      <c r="E114" s="43"/>
      <c r="F114" s="43"/>
      <c r="G114" s="43"/>
      <c r="H114" s="43"/>
      <c r="I114" s="43"/>
      <c r="J114" s="43"/>
      <c r="K114" s="43"/>
    </row>
    <row r="115" spans="2:11" x14ac:dyDescent="0.2">
      <c r="B115" s="37"/>
      <c r="D115" s="43"/>
      <c r="E115" s="43"/>
      <c r="F115" s="43"/>
      <c r="G115" s="43"/>
      <c r="H115" s="43"/>
      <c r="I115" s="43"/>
      <c r="J115" s="43"/>
      <c r="K115" s="43"/>
    </row>
    <row r="116" spans="2:11" x14ac:dyDescent="0.2">
      <c r="B116" s="37"/>
      <c r="D116" s="43"/>
      <c r="E116" s="43"/>
      <c r="F116" s="43"/>
      <c r="G116" s="43"/>
      <c r="H116" s="43"/>
      <c r="I116" s="43"/>
      <c r="J116" s="43"/>
      <c r="K116" s="43"/>
    </row>
    <row r="117" spans="2:11" x14ac:dyDescent="0.2">
      <c r="B117" s="37"/>
      <c r="D117" s="43"/>
      <c r="E117" s="43"/>
      <c r="F117" s="43"/>
      <c r="G117" s="43"/>
      <c r="H117" s="43"/>
      <c r="I117" s="43"/>
      <c r="J117" s="43"/>
      <c r="K117" s="43"/>
    </row>
    <row r="118" spans="2:11" x14ac:dyDescent="0.2">
      <c r="B118" s="37"/>
      <c r="D118" s="43"/>
      <c r="E118" s="43"/>
      <c r="F118" s="43"/>
      <c r="G118" s="43"/>
      <c r="H118" s="43"/>
      <c r="I118" s="43"/>
      <c r="J118" s="43"/>
      <c r="K118" s="43"/>
    </row>
    <row r="119" spans="2:11" x14ac:dyDescent="0.2">
      <c r="B119" s="37"/>
      <c r="D119" s="43"/>
      <c r="E119" s="43"/>
      <c r="F119" s="43"/>
      <c r="G119" s="43"/>
      <c r="H119" s="43"/>
      <c r="I119" s="43"/>
      <c r="J119" s="43"/>
      <c r="K119" s="43"/>
    </row>
    <row r="120" spans="2:11" x14ac:dyDescent="0.2">
      <c r="B120" s="37"/>
      <c r="D120" s="43"/>
      <c r="E120" s="43"/>
      <c r="F120" s="43"/>
      <c r="G120" s="43"/>
      <c r="H120" s="43"/>
      <c r="I120" s="43"/>
      <c r="J120" s="43"/>
      <c r="K120" s="43"/>
    </row>
    <row r="121" spans="2:11" x14ac:dyDescent="0.2">
      <c r="B121" s="37"/>
      <c r="D121" s="43"/>
      <c r="E121" s="43"/>
      <c r="F121" s="43"/>
      <c r="G121" s="43"/>
      <c r="H121" s="43"/>
      <c r="I121" s="43"/>
      <c r="J121" s="43"/>
      <c r="K121" s="43"/>
    </row>
    <row r="122" spans="2:11" x14ac:dyDescent="0.2">
      <c r="B122" s="37"/>
      <c r="D122" s="43"/>
      <c r="E122" s="43"/>
      <c r="F122" s="43"/>
      <c r="G122" s="43"/>
      <c r="H122" s="43"/>
      <c r="I122" s="43"/>
      <c r="J122" s="43"/>
      <c r="K122" s="43"/>
    </row>
    <row r="123" spans="2:11" x14ac:dyDescent="0.2">
      <c r="B123" s="37"/>
      <c r="D123" s="43"/>
      <c r="E123" s="43"/>
      <c r="F123" s="43"/>
      <c r="G123" s="43"/>
      <c r="H123" s="43"/>
      <c r="I123" s="43"/>
      <c r="J123" s="43"/>
      <c r="K123" s="43"/>
    </row>
    <row r="124" spans="2:11" x14ac:dyDescent="0.2">
      <c r="B124" s="37"/>
      <c r="D124" s="43"/>
      <c r="E124" s="43"/>
      <c r="F124" s="43"/>
      <c r="G124" s="43"/>
      <c r="H124" s="43"/>
      <c r="I124" s="43"/>
      <c r="J124" s="43"/>
      <c r="K124" s="43"/>
    </row>
  </sheetData>
  <sheetProtection insertRows="0" deleteRows="0"/>
  <mergeCells count="4">
    <mergeCell ref="Q10:T10"/>
    <mergeCell ref="G2:H2"/>
    <mergeCell ref="G3:H3"/>
    <mergeCell ref="A1:N1"/>
  </mergeCells>
  <phoneticPr fontId="3" type="noConversion"/>
  <conditionalFormatting sqref="A12:A19 A22:A37 A40:A57">
    <cfRule type="expression" dxfId="461" priority="72" stopIfTrue="1">
      <formula>$H12="S/STOCK"</formula>
    </cfRule>
  </conditionalFormatting>
  <conditionalFormatting sqref="A63:A67">
    <cfRule type="expression" dxfId="460" priority="69" stopIfTrue="1">
      <formula>$H63="S/STOCK"</formula>
    </cfRule>
  </conditionalFormatting>
  <conditionalFormatting sqref="A35">
    <cfRule type="expression" dxfId="459" priority="67" stopIfTrue="1">
      <formula>$H35="S/STOCK"</formula>
    </cfRule>
  </conditionalFormatting>
  <conditionalFormatting sqref="A44">
    <cfRule type="expression" dxfId="458" priority="52" stopIfTrue="1">
      <formula>$H44="S/STOCK"</formula>
    </cfRule>
  </conditionalFormatting>
  <conditionalFormatting sqref="A57">
    <cfRule type="expression" dxfId="457" priority="33" stopIfTrue="1">
      <formula>$H57="S/STOCK"</formula>
    </cfRule>
  </conditionalFormatting>
  <conditionalFormatting sqref="A43">
    <cfRule type="expression" dxfId="456" priority="32" stopIfTrue="1">
      <formula>$H43="S/STOCK"</formula>
    </cfRule>
  </conditionalFormatting>
  <conditionalFormatting sqref="A46">
    <cfRule type="expression" dxfId="455" priority="23" stopIfTrue="1">
      <formula>$H46="S/STOCK"</formula>
    </cfRule>
  </conditionalFormatting>
  <conditionalFormatting sqref="A48">
    <cfRule type="expression" dxfId="454" priority="22" stopIfTrue="1">
      <formula>$H48="S/STOCK"</formula>
    </cfRule>
  </conditionalFormatting>
  <conditionalFormatting sqref="A46">
    <cfRule type="expression" dxfId="453" priority="21" stopIfTrue="1">
      <formula>$H46="S/STOCK"</formula>
    </cfRule>
  </conditionalFormatting>
  <conditionalFormatting sqref="A46">
    <cfRule type="expression" dxfId="452" priority="20" stopIfTrue="1">
      <formula>$H46="S/STOCK"</formula>
    </cfRule>
  </conditionalFormatting>
  <conditionalFormatting sqref="A46">
    <cfRule type="expression" dxfId="451" priority="19" stopIfTrue="1">
      <formula>$H46="S/STOCK"</formula>
    </cfRule>
  </conditionalFormatting>
  <conditionalFormatting sqref="A42">
    <cfRule type="expression" dxfId="450" priority="10" stopIfTrue="1">
      <formula>$H42="S/STOCK"</formula>
    </cfRule>
  </conditionalFormatting>
  <conditionalFormatting sqref="A27">
    <cfRule type="expression" dxfId="449" priority="9" stopIfTrue="1">
      <formula>$H27="S/STOCK"</formula>
    </cfRule>
  </conditionalFormatting>
  <conditionalFormatting sqref="A49">
    <cfRule type="expression" dxfId="448" priority="7" stopIfTrue="1">
      <formula>$H49="S/STOCK"</formula>
    </cfRule>
  </conditionalFormatting>
  <conditionalFormatting sqref="A55">
    <cfRule type="expression" dxfId="447" priority="6" stopIfTrue="1">
      <formula>$H55="S/STOCK"</formula>
    </cfRule>
  </conditionalFormatting>
  <conditionalFormatting sqref="A55">
    <cfRule type="expression" dxfId="446" priority="4" stopIfTrue="1">
      <formula>$H55="S/STOCK"</formula>
    </cfRule>
  </conditionalFormatting>
  <conditionalFormatting sqref="A55">
    <cfRule type="expression" dxfId="445" priority="3" stopIfTrue="1">
      <formula>$H55="S/STOCK"</formula>
    </cfRule>
  </conditionalFormatting>
  <conditionalFormatting sqref="A55">
    <cfRule type="expression" dxfId="444" priority="2" stopIfTrue="1">
      <formula>$H55="S/STOCK"</formula>
    </cfRule>
  </conditionalFormatting>
  <conditionalFormatting sqref="A52">
    <cfRule type="expression" dxfId="443" priority="1" stopIfTrue="1">
      <formula>$H52="S/STOCK"</formula>
    </cfRule>
  </conditionalFormatting>
  <dataValidations count="1">
    <dataValidation type="list" allowBlank="1" showInputMessage="1" showErrorMessage="1" sqref="A63:A67 A22:A37 A12:A19 A40:A57">
      <formula1>INGREDIENTES</formula1>
    </dataValidation>
  </dataValidations>
  <pageMargins left="0.25" right="0.25" top="0.75" bottom="0.75" header="0.3" footer="0.3"/>
  <pageSetup scale="42" firstPageNumber="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Y93"/>
  <sheetViews>
    <sheetView showGridLines="0" zoomScale="80" zoomScaleNormal="80" zoomScaleSheetLayoutView="80" workbookViewId="0">
      <selection sqref="A1:N1"/>
    </sheetView>
  </sheetViews>
  <sheetFormatPr baseColWidth="10" defaultColWidth="11.42578125" defaultRowHeight="15.75" customHeight="1" x14ac:dyDescent="0.2"/>
  <cols>
    <col min="1" max="1" width="39.28515625" style="37" bestFit="1" customWidth="1"/>
    <col min="2" max="3" width="14.7109375" style="37" customWidth="1"/>
    <col min="4" max="10" width="14.7109375" style="39" customWidth="1"/>
    <col min="11" max="11" width="14.7109375" style="17" customWidth="1"/>
    <col min="12" max="14" width="14.7109375" style="37" customWidth="1"/>
    <col min="15" max="15" width="6" style="37" customWidth="1"/>
    <col min="16" max="16" width="13.42578125" style="37" customWidth="1"/>
    <col min="17" max="17" width="24.28515625" style="37" bestFit="1" customWidth="1"/>
    <col min="18" max="18" width="11.42578125" style="37"/>
    <col min="19" max="19" width="12.140625" style="37" bestFit="1" customWidth="1"/>
    <col min="20" max="20" width="13.7109375" style="37" customWidth="1"/>
    <col min="21" max="21" width="15.140625" style="37" customWidth="1"/>
    <col min="22" max="22" width="15.28515625" style="37" customWidth="1"/>
    <col min="23" max="23" width="15.42578125" style="37" customWidth="1"/>
    <col min="24" max="24" width="13.42578125" style="37" customWidth="1"/>
    <col min="25" max="16384" width="11.42578125" style="37"/>
  </cols>
  <sheetData>
    <row r="1" spans="1:155" ht="20.25" customHeight="1" thickBot="1" x14ac:dyDescent="0.25">
      <c r="A1" s="596" t="s">
        <v>24</v>
      </c>
      <c r="B1" s="596"/>
      <c r="C1" s="596"/>
      <c r="D1" s="596"/>
      <c r="E1" s="596"/>
      <c r="F1" s="596"/>
      <c r="G1" s="596"/>
      <c r="H1" s="596"/>
      <c r="I1" s="596"/>
      <c r="J1" s="596"/>
      <c r="K1" s="596"/>
      <c r="L1" s="596"/>
      <c r="M1" s="596"/>
      <c r="N1" s="596"/>
      <c r="O1" s="32"/>
    </row>
    <row r="2" spans="1:155" ht="44.25" customHeight="1" x14ac:dyDescent="0.2">
      <c r="A2" s="55" t="s">
        <v>42</v>
      </c>
      <c r="B2" s="282" t="str">
        <f>'MENU COMÚN'!C6</f>
        <v>LECHE-TÉ- CAFÉ</v>
      </c>
      <c r="C2" s="282"/>
      <c r="D2" s="282" t="str">
        <f>'MENU COMÚN'!C7</f>
        <v>PAN (100 GR) C/ HUEVO TOMATE</v>
      </c>
      <c r="E2" s="283"/>
      <c r="F2" s="257"/>
      <c r="G2" s="592" t="s">
        <v>386</v>
      </c>
      <c r="H2" s="593"/>
      <c r="I2" s="218">
        <f>LUNES!$I$2</f>
        <v>200</v>
      </c>
      <c r="Q2" s="23"/>
      <c r="R2" s="27"/>
      <c r="S2" s="17"/>
      <c r="T2" s="17"/>
      <c r="U2" s="17"/>
      <c r="V2" s="17"/>
      <c r="W2" s="17"/>
      <c r="X2" s="17"/>
    </row>
    <row r="3" spans="1:155" ht="13.5" customHeight="1" thickBot="1" x14ac:dyDescent="0.25">
      <c r="A3" s="55" t="s">
        <v>21</v>
      </c>
      <c r="B3" s="17" t="str">
        <f>'MENU COMÚN'!C9</f>
        <v>ENS.LECHUGA/CHOCLO</v>
      </c>
      <c r="C3" s="17"/>
      <c r="D3" s="19"/>
      <c r="E3" s="19"/>
      <c r="F3" s="19"/>
      <c r="G3" s="594" t="s">
        <v>134</v>
      </c>
      <c r="H3" s="595"/>
      <c r="I3" s="219">
        <f>LUNES!$I$3</f>
        <v>80</v>
      </c>
      <c r="Q3" s="23"/>
      <c r="R3" s="27"/>
      <c r="S3" s="17"/>
      <c r="T3" s="17"/>
      <c r="U3" s="17"/>
      <c r="V3" s="17"/>
      <c r="W3" s="17"/>
      <c r="X3" s="17"/>
    </row>
    <row r="4" spans="1:155" ht="13.5" customHeight="1" x14ac:dyDescent="0.2">
      <c r="A4" s="55"/>
      <c r="B4" s="265" t="str">
        <f>'MENU COMÚN'!C13</f>
        <v xml:space="preserve">1° SEMANA: MERLUZA APANADA CON  PURÉ DE PAPAS                                                                                                          2° SEMANA: CROQUETA DE ATÚN CON  QUINOA PRIMAVERA                                                                                                        3° SEMANA:  PULMAY (S.MARISCOS/CERDO, CHORIZO)                                                                                                                                                   3° SEMANA:  MERLUZA  ESCABECHADA CON PAPAS ASADAS RÚSTICAS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v>
      </c>
      <c r="C4" s="265"/>
      <c r="D4" s="266"/>
      <c r="E4" s="266"/>
      <c r="F4" s="19"/>
      <c r="G4" s="19"/>
      <c r="H4" s="26"/>
      <c r="I4" s="26"/>
      <c r="J4" s="57"/>
      <c r="Q4" s="23"/>
      <c r="R4" s="27"/>
      <c r="S4" s="17"/>
      <c r="T4" s="17"/>
      <c r="U4" s="17"/>
      <c r="V4" s="17"/>
      <c r="W4" s="17"/>
      <c r="X4" s="17"/>
    </row>
    <row r="5" spans="1:155" s="17" customFormat="1" ht="12.75" x14ac:dyDescent="0.2">
      <c r="A5" s="94"/>
      <c r="B5" s="265" t="str">
        <f>'MENU COMÚN'!C14</f>
        <v>JALEA FRAMBUESA</v>
      </c>
      <c r="D5" s="19"/>
      <c r="E5" s="19"/>
      <c r="F5" s="19"/>
      <c r="G5" s="19"/>
      <c r="H5" s="19"/>
      <c r="I5" s="19"/>
      <c r="J5" s="22"/>
      <c r="Q5" s="33"/>
      <c r="R5" s="190"/>
    </row>
    <row r="6" spans="1:155" ht="12.75" x14ac:dyDescent="0.2">
      <c r="A6" s="58"/>
      <c r="D6" s="19"/>
      <c r="E6" s="19"/>
      <c r="F6" s="19"/>
      <c r="G6" s="19"/>
      <c r="H6" s="19"/>
      <c r="I6" s="19"/>
      <c r="J6" s="22"/>
      <c r="Q6" s="169" t="s">
        <v>893</v>
      </c>
      <c r="R6" s="188"/>
    </row>
    <row r="7" spans="1:155" ht="25.5" x14ac:dyDescent="0.2">
      <c r="A7" s="55" t="s">
        <v>23</v>
      </c>
      <c r="B7" s="17" t="str">
        <f>'MENU COMÚN'!C17</f>
        <v>CREMA DE LEGUMBRES NATURAL</v>
      </c>
      <c r="C7" s="17"/>
      <c r="D7" s="19"/>
      <c r="E7" s="19"/>
      <c r="F7" s="19"/>
      <c r="G7" s="19"/>
      <c r="H7" s="19"/>
      <c r="I7" s="19"/>
      <c r="J7" s="22"/>
      <c r="Q7" s="199">
        <v>0</v>
      </c>
      <c r="R7" s="168" t="s">
        <v>127</v>
      </c>
      <c r="S7" s="168" t="s">
        <v>128</v>
      </c>
      <c r="T7" s="169" t="s">
        <v>129</v>
      </c>
      <c r="U7" s="168" t="s">
        <v>130</v>
      </c>
      <c r="V7" s="168" t="s">
        <v>131</v>
      </c>
      <c r="W7" s="168" t="s">
        <v>132</v>
      </c>
      <c r="X7" s="168" t="s">
        <v>133</v>
      </c>
    </row>
    <row r="8" spans="1:155" ht="13.5" customHeight="1" x14ac:dyDescent="0.2">
      <c r="B8" s="265" t="str">
        <f>'MENU COMÚN'!C21</f>
        <v>CHAPSUI DE CERDO                                                                                                                                                                                    CON ARROZ PIAMONTESA</v>
      </c>
      <c r="C8" s="265"/>
      <c r="D8" s="266"/>
      <c r="E8" s="266"/>
      <c r="F8" s="266"/>
      <c r="G8" s="19"/>
      <c r="H8" s="19"/>
      <c r="I8" s="19"/>
      <c r="J8" s="22"/>
      <c r="P8" s="197">
        <f>LUNES!P8</f>
        <v>2065</v>
      </c>
      <c r="Q8" s="162" t="s">
        <v>388</v>
      </c>
      <c r="R8" s="166">
        <f>I38</f>
        <v>1601.089435897436</v>
      </c>
      <c r="S8" s="166">
        <f>+$P$8+($P$8*$Q$7)</f>
        <v>2065</v>
      </c>
      <c r="T8" s="159">
        <f>+$I$2-$I$3</f>
        <v>120</v>
      </c>
      <c r="U8" s="166">
        <f>$R$8*$T$8</f>
        <v>192130.73230769232</v>
      </c>
      <c r="V8" s="166">
        <f>$S$8*$T$8</f>
        <v>247800</v>
      </c>
      <c r="W8" s="166">
        <f>$V$8-$U$8</f>
        <v>55669.26769230768</v>
      </c>
      <c r="X8" s="170">
        <f>$W$8/$V$8</f>
        <v>0.22465402619978886</v>
      </c>
    </row>
    <row r="9" spans="1:155" ht="13.5" customHeight="1" thickBot="1" x14ac:dyDescent="0.25">
      <c r="A9" s="17"/>
      <c r="B9" s="265" t="str">
        <f>'MENU COMÚN'!C22</f>
        <v>FLAN DE CHOCOLATE</v>
      </c>
      <c r="C9" s="17"/>
      <c r="D9" s="19"/>
      <c r="E9" s="19"/>
      <c r="F9" s="19"/>
      <c r="G9" s="19"/>
      <c r="H9" s="19"/>
      <c r="I9" s="19"/>
      <c r="J9" s="22"/>
      <c r="P9" s="197">
        <f>LUNES!P9</f>
        <v>2429</v>
      </c>
      <c r="Q9" s="162" t="s">
        <v>134</v>
      </c>
      <c r="R9" s="166">
        <f>I21+I38+I60</f>
        <v>3104.9087930402934</v>
      </c>
      <c r="S9" s="166">
        <f>+$P$9+($P$9*$Q$7)</f>
        <v>2429</v>
      </c>
      <c r="T9" s="167">
        <f>+$I$3</f>
        <v>80</v>
      </c>
      <c r="U9" s="158">
        <f>$R$9*$T$9</f>
        <v>248392.70344322347</v>
      </c>
      <c r="V9" s="158">
        <f>$S$9*$T$9</f>
        <v>194320</v>
      </c>
      <c r="W9" s="161">
        <f>$V$9-$U$9</f>
        <v>-54072.703443223465</v>
      </c>
      <c r="X9" s="160">
        <f>$W$9/$V$9</f>
        <v>-0.27826627955549332</v>
      </c>
    </row>
    <row r="10" spans="1:155" s="17" customFormat="1" ht="26.25" thickBot="1" x14ac:dyDescent="0.25">
      <c r="A10" s="99" t="s">
        <v>17</v>
      </c>
      <c r="B10" s="100" t="s">
        <v>94</v>
      </c>
      <c r="C10" s="101" t="s">
        <v>18</v>
      </c>
      <c r="D10" s="101" t="s">
        <v>103</v>
      </c>
      <c r="E10" s="101"/>
      <c r="F10" s="101" t="s">
        <v>891</v>
      </c>
      <c r="G10" s="101" t="s">
        <v>91</v>
      </c>
      <c r="H10" s="101" t="s">
        <v>19</v>
      </c>
      <c r="I10" s="101" t="s">
        <v>45</v>
      </c>
      <c r="J10" s="102" t="s">
        <v>20</v>
      </c>
      <c r="K10" s="102" t="s">
        <v>43</v>
      </c>
      <c r="L10" s="103" t="s">
        <v>44</v>
      </c>
      <c r="M10" s="104" t="s">
        <v>207</v>
      </c>
      <c r="N10" s="105" t="s">
        <v>208</v>
      </c>
      <c r="O10" s="193"/>
      <c r="Q10" s="589" t="s">
        <v>29</v>
      </c>
      <c r="R10" s="590"/>
      <c r="S10" s="590"/>
      <c r="T10" s="591"/>
      <c r="U10" s="163">
        <f>SUM(U8:U9)</f>
        <v>440523.43575091579</v>
      </c>
      <c r="V10" s="163">
        <f>SUM(V8:V9)</f>
        <v>442120</v>
      </c>
      <c r="W10" s="164">
        <f>V10-U10</f>
        <v>1596.5642490842147</v>
      </c>
      <c r="X10" s="165">
        <f>W10/V10</f>
        <v>3.6111559058269582E-3</v>
      </c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</row>
    <row r="11" spans="1:155" s="17" customFormat="1" ht="13.5" customHeight="1" thickBot="1" x14ac:dyDescent="0.25">
      <c r="A11" s="106" t="s">
        <v>42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8"/>
      <c r="O11" s="32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</row>
    <row r="12" spans="1:155" s="17" customFormat="1" ht="13.5" customHeight="1" x14ac:dyDescent="0.2">
      <c r="A12" s="248" t="s">
        <v>412</v>
      </c>
      <c r="B12" s="141" t="str">
        <f>VLOOKUP($A12,NSN!$A:$B,2,FALSE)</f>
        <v>C903335</v>
      </c>
      <c r="C12" s="142" t="str">
        <f>VLOOKUP($A12,CODIGOS!$B:$E,4,FALSE)</f>
        <v>800 grs</v>
      </c>
      <c r="D12" s="143">
        <f t="shared" ref="D12:D20" si="0">($F12*$I$3)/1000</f>
        <v>1.6</v>
      </c>
      <c r="E12" s="143">
        <f>IF(VLOOKUP($B12,CODIGOS!$A:$F,6,0)&lt;&gt;1000,(($F12*$I$3)/VLOOKUP($B12,CODIGOS!$A:$F,6,0)),"")</f>
        <v>2</v>
      </c>
      <c r="F12" s="207">
        <v>20</v>
      </c>
      <c r="G12" s="144">
        <f>(F12/1000)*VLOOKUP($B12,CODIGOS!$A:$G,7,0)</f>
        <v>0.02</v>
      </c>
      <c r="H12" s="25">
        <f>VLOOKUP($A12,CODIGOS!$B:$D,2,FALSE)</f>
        <v>4975</v>
      </c>
      <c r="I12" s="25">
        <f t="shared" ref="I12:I20" si="1">IF($H12="S/STOCK","",$J12/$I$3)</f>
        <v>124.375</v>
      </c>
      <c r="J12" s="25">
        <f t="shared" ref="J12:J20" si="2">IF(H12="S/STOCK","",IF($E12="",$D12*$H12,$E12*$H12))</f>
        <v>9950</v>
      </c>
      <c r="K12" s="144">
        <f>VLOOKUP($B12,CODIGOS!$A:$K,8,0)*$G12*1000</f>
        <v>70.599999999999994</v>
      </c>
      <c r="L12" s="144">
        <f>VLOOKUP($B12,CODIGOS!$A:$K,9,0)*$G12*1000</f>
        <v>8.0200000000000014</v>
      </c>
      <c r="M12" s="144">
        <f>VLOOKUP($B12,CODIGOS!$A:$K,10,0)*$G12*1000</f>
        <v>0.02</v>
      </c>
      <c r="N12" s="220">
        <f>VLOOKUP($B12,CODIGOS!$A:$K,11,0)*$G12*1000</f>
        <v>9.58</v>
      </c>
      <c r="O12" s="22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</row>
    <row r="13" spans="1:155" s="17" customFormat="1" ht="13.5" customHeight="1" x14ac:dyDescent="0.2">
      <c r="A13" s="248" t="s">
        <v>10</v>
      </c>
      <c r="B13" s="122" t="str">
        <f>VLOOKUP($A13,NSN!$A:$B,2,FALSE)</f>
        <v>C000827</v>
      </c>
      <c r="C13" s="123" t="str">
        <f>VLOOKUP($A13,CODIGOS!$B:$E,4,FALSE)</f>
        <v>KG</v>
      </c>
      <c r="D13" s="124">
        <f t="shared" si="0"/>
        <v>0.12</v>
      </c>
      <c r="E13" s="124" t="str">
        <f>IF(VLOOKUP($B13,CODIGOS!$A:$F,6,0)&lt;&gt;1000,(($F13*$I$3)/VLOOKUP($B13,CODIGOS!$A:$F,6,0)),"")</f>
        <v/>
      </c>
      <c r="F13" s="206">
        <v>1.5</v>
      </c>
      <c r="G13" s="125">
        <f>(F13/1000)*VLOOKUP($B13,CODIGOS!$A:$G,7,0)</f>
        <v>1.5E-3</v>
      </c>
      <c r="H13" s="24">
        <f>VLOOKUP($A13,CODIGOS!$B:$D,2,FALSE)</f>
        <v>7800</v>
      </c>
      <c r="I13" s="24">
        <f t="shared" si="1"/>
        <v>11.7</v>
      </c>
      <c r="J13" s="24">
        <f t="shared" si="2"/>
        <v>936</v>
      </c>
      <c r="K13" s="125">
        <f>VLOOKUP($B13,CODIGOS!$A:$K,8,0)*$G13*1000</f>
        <v>1.5000000000000001E-2</v>
      </c>
      <c r="L13" s="125">
        <f>VLOOKUP($B13,CODIGOS!$A:$K,9,0)*$G13*1000</f>
        <v>0</v>
      </c>
      <c r="M13" s="125">
        <f>VLOOKUP($B13,CODIGOS!$A:$K,10,0)*$G13*1000</f>
        <v>0</v>
      </c>
      <c r="N13" s="221">
        <f>VLOOKUP($B13,CODIGOS!$A:$K,11,0)*$G13*1000</f>
        <v>3.0000000000000001E-3</v>
      </c>
      <c r="O13" s="22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</row>
    <row r="14" spans="1:155" s="17" customFormat="1" ht="13.5" customHeight="1" x14ac:dyDescent="0.2">
      <c r="A14" s="248" t="s">
        <v>646</v>
      </c>
      <c r="B14" s="122" t="str">
        <f>VLOOKUP($A14,NSN!$A:$B,2,FALSE)</f>
        <v>C000523</v>
      </c>
      <c r="C14" s="123" t="str">
        <f>VLOOKUP($A14,CODIGOS!$B:$E,4,FALSE)</f>
        <v>TA 400 gr</v>
      </c>
      <c r="D14" s="124">
        <f t="shared" si="0"/>
        <v>0.08</v>
      </c>
      <c r="E14" s="124">
        <f>IF(VLOOKUP($B14,CODIGOS!$A:$F,6,0)&lt;&gt;1000,(($F14*$I$3)/VLOOKUP($B14,CODIGOS!$A:$F,6,0)),"")</f>
        <v>0.2</v>
      </c>
      <c r="F14" s="206">
        <v>1</v>
      </c>
      <c r="G14" s="125">
        <f>(F14/1000)*VLOOKUP($B14,CODIGOS!$A:$G,7,0)</f>
        <v>1E-3</v>
      </c>
      <c r="H14" s="24">
        <f>VLOOKUP($A14,CODIGOS!$B:$D,2,FALSE)</f>
        <v>9990</v>
      </c>
      <c r="I14" s="24">
        <f t="shared" si="1"/>
        <v>24.975000000000001</v>
      </c>
      <c r="J14" s="24">
        <f t="shared" si="2"/>
        <v>1998</v>
      </c>
      <c r="K14" s="125">
        <f>VLOOKUP($B14,CODIGOS!$A:$K,8,0)*$G14*1000</f>
        <v>2.61</v>
      </c>
      <c r="L14" s="125">
        <f>VLOOKUP($B14,CODIGOS!$A:$K,9,0)*$G14*1000</f>
        <v>0.16399999999999998</v>
      </c>
      <c r="M14" s="125">
        <f>VLOOKUP($B14,CODIGOS!$A:$K,10,0)*$G14*1000</f>
        <v>1E-3</v>
      </c>
      <c r="N14" s="221">
        <f>VLOOKUP($B14,CODIGOS!$A:$K,11,0)*$G14*1000</f>
        <v>0.49</v>
      </c>
      <c r="O14" s="22"/>
      <c r="Q14" s="23"/>
      <c r="R14" s="2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</row>
    <row r="15" spans="1:155" s="17" customFormat="1" ht="13.5" customHeight="1" x14ac:dyDescent="0.2">
      <c r="A15" s="248" t="s">
        <v>394</v>
      </c>
      <c r="B15" s="122" t="str">
        <f>VLOOKUP($A15,NSN!$A:$B,2,FALSE)</f>
        <v>C000816</v>
      </c>
      <c r="C15" s="123" t="str">
        <f>VLOOKUP($A15,CODIGOS!$B:$E,4,FALSE)</f>
        <v>KG</v>
      </c>
      <c r="D15" s="124">
        <f t="shared" si="0"/>
        <v>0.8</v>
      </c>
      <c r="E15" s="124" t="str">
        <f>IF(VLOOKUP($B15,CODIGOS!$A:$F,6,0)&lt;&gt;1000,(($F15*$I$3)/VLOOKUP($B15,CODIGOS!$A:$F,6,0)),"")</f>
        <v/>
      </c>
      <c r="F15" s="206">
        <v>10</v>
      </c>
      <c r="G15" s="125">
        <f>(F15/1000)*VLOOKUP($B15,CODIGOS!$A:$G,7,0)</f>
        <v>0.01</v>
      </c>
      <c r="H15" s="24">
        <f>VLOOKUP($A15,CODIGOS!$B:$D,2,FALSE)</f>
        <v>1128</v>
      </c>
      <c r="I15" s="24">
        <f t="shared" si="1"/>
        <v>11.280000000000001</v>
      </c>
      <c r="J15" s="24">
        <f t="shared" si="2"/>
        <v>902.40000000000009</v>
      </c>
      <c r="K15" s="125">
        <f>VLOOKUP($B15,CODIGOS!$A:$K,8,0)*$G15*1000</f>
        <v>39.800000000000004</v>
      </c>
      <c r="L15" s="125">
        <f>VLOOKUP($B15,CODIGOS!$A:$K,9,0)*$G15*1000</f>
        <v>0</v>
      </c>
      <c r="M15" s="125">
        <f>VLOOKUP($B15,CODIGOS!$A:$K,10,0)*$G15*1000</f>
        <v>0</v>
      </c>
      <c r="N15" s="221">
        <f>VLOOKUP($B15,CODIGOS!$A:$K,11,0)*$G15*1000</f>
        <v>9.9500000000000011</v>
      </c>
      <c r="O15" s="22"/>
      <c r="Q15" s="23"/>
      <c r="R15" s="2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</row>
    <row r="16" spans="1:155" ht="15.75" customHeight="1" x14ac:dyDescent="0.2">
      <c r="A16" s="248" t="s">
        <v>151</v>
      </c>
      <c r="B16" s="122" t="str">
        <f>VLOOKUP($A16,NSN!$A:$B,2,FALSE)</f>
        <v>V000148</v>
      </c>
      <c r="C16" s="123" t="str">
        <f>VLOOKUP($A16,CODIGOS!$B:$E,4,FALSE)</f>
        <v>NR 50 gr</v>
      </c>
      <c r="D16" s="124">
        <f t="shared" si="0"/>
        <v>4</v>
      </c>
      <c r="E16" s="124">
        <f>IF(VLOOKUP($B16,CODIGOS!$A:$F,6,0)&lt;&gt;1000,(($F16*$I$3)/VLOOKUP($B16,CODIGOS!$A:$F,6,0)),"")</f>
        <v>80</v>
      </c>
      <c r="F16" s="503">
        <v>50</v>
      </c>
      <c r="G16" s="125">
        <f>(F16/1000)*VLOOKUP($B16,CODIGOS!$A:$G,7,0)</f>
        <v>0.05</v>
      </c>
      <c r="H16" s="24">
        <f>VLOOKUP($A16,CODIGOS!$B:$D,2,FALSE)</f>
        <v>253</v>
      </c>
      <c r="I16" s="24">
        <f t="shared" si="1"/>
        <v>253</v>
      </c>
      <c r="J16" s="24">
        <f t="shared" si="2"/>
        <v>20240</v>
      </c>
      <c r="K16" s="125">
        <f>VLOOKUP($B16,CODIGOS!$A:$K,8,0)*$G16*1000</f>
        <v>80.000000000000014</v>
      </c>
      <c r="L16" s="125">
        <f>VLOOKUP($B16,CODIGOS!$A:$K,9,0)*$G16*1000</f>
        <v>6.7500000000000009</v>
      </c>
      <c r="M16" s="125">
        <f>VLOOKUP($B16,CODIGOS!$A:$K,10,0)*$G16*1000</f>
        <v>5.0000000000000009</v>
      </c>
      <c r="N16" s="221">
        <f>VLOOKUP($B16,CODIGOS!$A:$K,11,0)*$G16*1000</f>
        <v>0.2</v>
      </c>
    </row>
    <row r="17" spans="1:14" ht="15.75" customHeight="1" x14ac:dyDescent="0.2">
      <c r="A17" s="248" t="s">
        <v>84</v>
      </c>
      <c r="B17" s="122" t="str">
        <f>VLOOKUP($A17,NSN!$A:$B,2,FALSE)</f>
        <v>V000317</v>
      </c>
      <c r="C17" s="123" t="str">
        <f>VLOOKUP($A17,CODIGOS!$B:$E,4,FALSE)</f>
        <v>KG</v>
      </c>
      <c r="D17" s="124">
        <f t="shared" si="0"/>
        <v>3.2</v>
      </c>
      <c r="E17" s="124" t="str">
        <f>IF(VLOOKUP($B17,CODIGOS!$A:$F,6,0)&lt;&gt;1000,(($F17*$I$3)/VLOOKUP($B17,CODIGOS!$A:$F,6,0)),"")</f>
        <v/>
      </c>
      <c r="F17" s="503">
        <v>40</v>
      </c>
      <c r="G17" s="125">
        <f>(F17/1000)*VLOOKUP($B17,CODIGOS!$A:$G,7,0)</f>
        <v>3.78E-2</v>
      </c>
      <c r="H17" s="24">
        <f>VLOOKUP($A17,CODIGOS!$B:$D,2,FALSE)</f>
        <v>1669</v>
      </c>
      <c r="I17" s="24">
        <f t="shared" si="1"/>
        <v>66.760000000000005</v>
      </c>
      <c r="J17" s="24">
        <f t="shared" ref="J17:J19" si="3">IF(H17="S/STOCK","",IF($E17="",$D17*$H17,$E17*$H17))</f>
        <v>5340.8</v>
      </c>
      <c r="K17" s="125">
        <f>VLOOKUP($B17,CODIGOS!$A:$K,8,0)*$G17*1000</f>
        <v>7.5600000000000005</v>
      </c>
      <c r="L17" s="125">
        <f>VLOOKUP($B17,CODIGOS!$A:$K,9,0)*$G17*1000</f>
        <v>0.30240000000000006</v>
      </c>
      <c r="M17" s="125">
        <f>VLOOKUP($B17,CODIGOS!$A:$K,10,0)*$G17*1000</f>
        <v>0.15120000000000003</v>
      </c>
      <c r="N17" s="221">
        <f>VLOOKUP($B17,CODIGOS!$A:$K,11,0)*$G17*1000</f>
        <v>1.2096000000000002</v>
      </c>
    </row>
    <row r="18" spans="1:14" ht="15.75" customHeight="1" x14ac:dyDescent="0.2">
      <c r="A18" s="248" t="s">
        <v>2028</v>
      </c>
      <c r="B18" s="122" t="str">
        <f>VLOOKUP($A18,NSN!$A:$B,2,FALSE)</f>
        <v>C902636</v>
      </c>
      <c r="C18" s="123" t="str">
        <f>VLOOKUP($A18,CODIGOS!$B:$E,4,FALSE)</f>
        <v>900 ML</v>
      </c>
      <c r="D18" s="124">
        <f t="shared" si="0"/>
        <v>0.4</v>
      </c>
      <c r="E18" s="124">
        <f>IF(VLOOKUP($B18,CODIGOS!$A:$F,6,0)&lt;&gt;1000,(($F18*$I$3)/VLOOKUP($B18,CODIGOS!$A:$F,6,0)),"")</f>
        <v>0.44444444444444442</v>
      </c>
      <c r="F18" s="503">
        <v>5</v>
      </c>
      <c r="G18" s="125">
        <f>(F18/1000)*VLOOKUP($B18,CODIGOS!$A:$G,7,0)</f>
        <v>5.0000000000000001E-3</v>
      </c>
      <c r="H18" s="24">
        <f>VLOOKUP($A18,CODIGOS!$B:$D,2,FALSE)</f>
        <v>1500</v>
      </c>
      <c r="I18" s="24">
        <f t="shared" si="1"/>
        <v>8.3333333333333321</v>
      </c>
      <c r="J18" s="24">
        <f t="shared" si="3"/>
        <v>666.66666666666663</v>
      </c>
      <c r="K18" s="125">
        <f>VLOOKUP($B18,CODIGOS!$A:$K,8,0)*$G18*1000</f>
        <v>44.2</v>
      </c>
      <c r="L18" s="125">
        <f>VLOOKUP($B18,CODIGOS!$A:$K,9,0)*$G18*1000</f>
        <v>0</v>
      </c>
      <c r="M18" s="125">
        <f>VLOOKUP($B18,CODIGOS!$A:$K,10,0)*$G18*1000</f>
        <v>5</v>
      </c>
      <c r="N18" s="221">
        <f>VLOOKUP($B18,CODIGOS!$A:$K,11,0)*$G18*1000</f>
        <v>0</v>
      </c>
    </row>
    <row r="19" spans="1:14" ht="15.75" customHeight="1" x14ac:dyDescent="0.2">
      <c r="A19" s="248" t="s">
        <v>653</v>
      </c>
      <c r="B19" s="122" t="str">
        <f>VLOOKUP($A19,NSN!$A:$B,2,FALSE)</f>
        <v>C000528</v>
      </c>
      <c r="C19" s="123" t="str">
        <f>VLOOKUP($A19,CODIGOS!$B:$E,4,FALSE)</f>
        <v>KG</v>
      </c>
      <c r="D19" s="124">
        <f t="shared" si="0"/>
        <v>0.04</v>
      </c>
      <c r="E19" s="124" t="str">
        <f>IF(VLOOKUP($B19,CODIGOS!$A:$F,6,0)&lt;&gt;1000,(($F19*$I$3)/VLOOKUP($B19,CODIGOS!$A:$F,6,0)),"")</f>
        <v/>
      </c>
      <c r="F19" s="503">
        <v>0.5</v>
      </c>
      <c r="G19" s="125">
        <f>(F19/1000)*VLOOKUP($B19,CODIGOS!$A:$G,7,0)</f>
        <v>5.0000000000000001E-4</v>
      </c>
      <c r="H19" s="24">
        <f>VLOOKUP($A19,CODIGOS!$B:$D,2,FALSE)</f>
        <v>375</v>
      </c>
      <c r="I19" s="24">
        <f t="shared" si="1"/>
        <v>0.1875</v>
      </c>
      <c r="J19" s="24">
        <f t="shared" si="3"/>
        <v>15</v>
      </c>
      <c r="K19" s="125">
        <f>VLOOKUP($B19,CODIGOS!$A:$K,8,0)*$G19*1000</f>
        <v>0</v>
      </c>
      <c r="L19" s="125">
        <f>VLOOKUP($B19,CODIGOS!$A:$K,9,0)*$G19*1000</f>
        <v>0</v>
      </c>
      <c r="M19" s="125">
        <f>VLOOKUP($B19,CODIGOS!$A:$K,10,0)*$G19*1000</f>
        <v>0</v>
      </c>
      <c r="N19" s="221">
        <f>VLOOKUP($B19,CODIGOS!$A:$K,11,0)*$G19*1000</f>
        <v>0</v>
      </c>
    </row>
    <row r="20" spans="1:14" ht="15.75" customHeight="1" thickBot="1" x14ac:dyDescent="0.25">
      <c r="A20" s="248" t="s">
        <v>13</v>
      </c>
      <c r="B20" s="122" t="str">
        <f>VLOOKUP($A20,NSN!$A:$B,2,FALSE)</f>
        <v>V000415</v>
      </c>
      <c r="C20" s="123" t="str">
        <f>VLOOKUP($A20,CODIGOS!$B:$E,4,FALSE)</f>
        <v>KG</v>
      </c>
      <c r="D20" s="124">
        <f t="shared" si="0"/>
        <v>8</v>
      </c>
      <c r="E20" s="124" t="str">
        <f>IF(VLOOKUP($B20,CODIGOS!$A:$F,6,0)&lt;&gt;1000,(($F20*$I$3)/VLOOKUP($B20,CODIGOS!$A:$F,6,0)),"")</f>
        <v/>
      </c>
      <c r="F20" s="501">
        <v>100</v>
      </c>
      <c r="G20" s="125">
        <f>(F20/1000)*VLOOKUP($B20,CODIGOS!$A:$G,7,0)</f>
        <v>0.1</v>
      </c>
      <c r="H20" s="24">
        <f>VLOOKUP($A20,CODIGOS!$B:$D,2,FALSE)</f>
        <v>1783</v>
      </c>
      <c r="I20" s="24">
        <f t="shared" si="1"/>
        <v>178.3</v>
      </c>
      <c r="J20" s="24">
        <f t="shared" si="2"/>
        <v>14264</v>
      </c>
      <c r="K20" s="125">
        <f>VLOOKUP($B20,CODIGOS!$A:$K,8,0)*$G20*1000</f>
        <v>315</v>
      </c>
      <c r="L20" s="125">
        <f>VLOOKUP($B20,CODIGOS!$A:$K,9,0)*$G20*1000</f>
        <v>8.1999999999999993</v>
      </c>
      <c r="M20" s="125">
        <f>VLOOKUP($B20,CODIGOS!$A:$K,10,0)*$G20*1000</f>
        <v>4</v>
      </c>
      <c r="N20" s="221">
        <f>VLOOKUP($B20,CODIGOS!$A:$K,11,0)*$G20*1000</f>
        <v>61.6</v>
      </c>
    </row>
    <row r="21" spans="1:14" ht="15.75" customHeight="1" thickBot="1" x14ac:dyDescent="0.25">
      <c r="A21" s="17" t="s">
        <v>627</v>
      </c>
      <c r="B21" s="33"/>
      <c r="C21" s="18"/>
      <c r="D21" s="126"/>
      <c r="E21" s="126"/>
      <c r="F21" s="211"/>
      <c r="G21" s="19"/>
      <c r="H21" s="41"/>
      <c r="I21" s="224">
        <f t="shared" ref="I21:N21" si="4">SUM(I12:I20)</f>
        <v>678.91083333333336</v>
      </c>
      <c r="J21" s="225">
        <f t="shared" si="4"/>
        <v>54312.866666666669</v>
      </c>
      <c r="K21" s="226">
        <f t="shared" si="4"/>
        <v>559.78500000000008</v>
      </c>
      <c r="L21" s="226">
        <f t="shared" si="4"/>
        <v>23.436399999999999</v>
      </c>
      <c r="M21" s="226">
        <f t="shared" si="4"/>
        <v>14.1722</v>
      </c>
      <c r="N21" s="227">
        <f t="shared" si="4"/>
        <v>83.032600000000002</v>
      </c>
    </row>
    <row r="22" spans="1:14" ht="15.75" customHeight="1" thickBot="1" x14ac:dyDescent="0.25">
      <c r="A22" s="106" t="s">
        <v>21</v>
      </c>
      <c r="B22" s="107"/>
      <c r="C22" s="107"/>
      <c r="D22" s="107"/>
      <c r="E22" s="107"/>
      <c r="F22" s="212"/>
      <c r="G22" s="107"/>
      <c r="H22" s="107"/>
      <c r="I22" s="191"/>
      <c r="J22" s="191"/>
      <c r="K22" s="191"/>
      <c r="L22" s="191"/>
      <c r="M22" s="191"/>
      <c r="N22" s="200"/>
    </row>
    <row r="23" spans="1:14" ht="15.75" customHeight="1" x14ac:dyDescent="0.2">
      <c r="A23" s="248" t="s">
        <v>323</v>
      </c>
      <c r="B23" s="141" t="str">
        <f>VLOOKUP($A23,NSN!$A:$B,2,FALSE)</f>
        <v>C902857</v>
      </c>
      <c r="C23" s="142" t="str">
        <f>VLOOKUP($A23,CODIGOS!$B:$E,4,FALSE)</f>
        <v>KG</v>
      </c>
      <c r="D23" s="143">
        <f t="shared" ref="D23:D37" si="5">($F23*$I$2)/1000</f>
        <v>1.2</v>
      </c>
      <c r="E23" s="143" t="str">
        <f>IF(VLOOKUP($B23,CODIGOS!$A:$F,6,0)&lt;&gt;1000,(($F23*$I$2)/VLOOKUP($B23,CODIGOS!$A:$F,6,0)),"")</f>
        <v/>
      </c>
      <c r="F23" s="207">
        <v>6</v>
      </c>
      <c r="G23" s="240">
        <f>(F23/1000)*VLOOKUP($B23,CODIGOS!$A:$G,7,0)</f>
        <v>6.0000000000000001E-3</v>
      </c>
      <c r="H23" s="25">
        <f>VLOOKUP($A23,CODIGOS!$B:$D,2,FALSE)</f>
        <v>2941</v>
      </c>
      <c r="I23" s="241">
        <f t="shared" ref="I23:I37" si="6">IF($H23="S/STOCK","",$J23/$I$2)</f>
        <v>17.646000000000001</v>
      </c>
      <c r="J23" s="59">
        <f t="shared" ref="J23:J36" si="7">IF(H23="S/STOCK","",IF($E23="",$D23*$H23,$E23*$H23))</f>
        <v>3529.2</v>
      </c>
      <c r="K23" s="128">
        <f>VLOOKUP($B23,CODIGOS!$A:$K,8,0)*$G23*1000</f>
        <v>21.54</v>
      </c>
      <c r="L23" s="129">
        <f>VLOOKUP($B23,CODIGOS!$A:$K,9,0)*$G23*1000</f>
        <v>0</v>
      </c>
      <c r="M23" s="129">
        <f>VLOOKUP($B23,CODIGOS!$A:$K,10,0)*$G23*1000</f>
        <v>0</v>
      </c>
      <c r="N23" s="130">
        <f>VLOOKUP($B23,CODIGOS!$A:$K,11,0)*$G23*1000</f>
        <v>5.3759999999999994</v>
      </c>
    </row>
    <row r="24" spans="1:14" ht="15.75" customHeight="1" x14ac:dyDescent="0.2">
      <c r="A24" s="248" t="s">
        <v>13</v>
      </c>
      <c r="B24" s="122" t="str">
        <f>VLOOKUP($A24,NSN!$A:$B,2,FALSE)</f>
        <v>V000415</v>
      </c>
      <c r="C24" s="123" t="str">
        <f>VLOOKUP($A24,CODIGOS!$B:$E,4,FALSE)</f>
        <v>KG</v>
      </c>
      <c r="D24" s="124">
        <f t="shared" si="5"/>
        <v>10</v>
      </c>
      <c r="E24" s="124" t="str">
        <f>IF(VLOOKUP($B24,CODIGOS!$A:$F,6,0)&lt;&gt;1000,(($F24*$I$2)/VLOOKUP($B24,CODIGOS!$A:$F,6,0)),"")</f>
        <v/>
      </c>
      <c r="F24" s="206">
        <v>50</v>
      </c>
      <c r="G24" s="135">
        <f>(F24/1000)*VLOOKUP($B24,CODIGOS!$A:$G,7,0)</f>
        <v>0.05</v>
      </c>
      <c r="H24" s="24">
        <f>VLOOKUP($A24,CODIGOS!$B:$D,2,FALSE)</f>
        <v>1783</v>
      </c>
      <c r="I24" s="147">
        <f t="shared" si="6"/>
        <v>89.15</v>
      </c>
      <c r="J24" s="53">
        <f t="shared" si="7"/>
        <v>17830</v>
      </c>
      <c r="K24" s="131">
        <f>VLOOKUP($B24,CODIGOS!$A:$K,8,0)*$G24*1000</f>
        <v>157.5</v>
      </c>
      <c r="L24" s="132">
        <f>VLOOKUP($B24,CODIGOS!$A:$K,9,0)*$G24*1000</f>
        <v>4.0999999999999996</v>
      </c>
      <c r="M24" s="132">
        <f>VLOOKUP($B24,CODIGOS!$A:$K,10,0)*$G24*1000</f>
        <v>2</v>
      </c>
      <c r="N24" s="133">
        <f>VLOOKUP($B24,CODIGOS!$A:$K,11,0)*$G24*1000</f>
        <v>30.8</v>
      </c>
    </row>
    <row r="25" spans="1:14" ht="15.75" customHeight="1" x14ac:dyDescent="0.2">
      <c r="A25" s="248" t="s">
        <v>196</v>
      </c>
      <c r="B25" s="122" t="str">
        <f>VLOOKUP($A25,NSN!$A:$B,2,FALSE)</f>
        <v>V000170</v>
      </c>
      <c r="C25" s="123" t="str">
        <f>VLOOKUP($A25,CODIGOS!$B:$E,4,FALSE)</f>
        <v>NR (650 g)</v>
      </c>
      <c r="D25" s="124">
        <f t="shared" si="5"/>
        <v>8</v>
      </c>
      <c r="E25" s="124">
        <f>IF(VLOOKUP($B25,CODIGOS!$A:$F,6,0)&lt;&gt;1000,(($F25*$I$2)/VLOOKUP($B25,CODIGOS!$A:$F,6,0)),"")</f>
        <v>12.307692307692308</v>
      </c>
      <c r="F25" s="504">
        <v>40</v>
      </c>
      <c r="G25" s="135">
        <f>(F25/1000)*VLOOKUP($B25,CODIGOS!$A:$G,7,0)</f>
        <v>3.8239999999999996E-2</v>
      </c>
      <c r="H25" s="24">
        <f>VLOOKUP($A25,CODIGOS!$B:$D,2,FALSE)</f>
        <v>1190</v>
      </c>
      <c r="I25" s="147">
        <f t="shared" si="6"/>
        <v>73.230769230769241</v>
      </c>
      <c r="J25" s="53">
        <f t="shared" si="7"/>
        <v>14646.153846153848</v>
      </c>
      <c r="K25" s="131">
        <f>VLOOKUP($B25,CODIGOS!$A:$K,8,0)*$G25*1000</f>
        <v>7.2656000000000001</v>
      </c>
      <c r="L25" s="132">
        <f>VLOOKUP($B25,CODIGOS!$A:$K,9,0)*$G25*1000</f>
        <v>0.65007999999999988</v>
      </c>
      <c r="M25" s="132">
        <f>VLOOKUP($B25,CODIGOS!$A:$K,10,0)*$G25*1000</f>
        <v>0.15296000000000001</v>
      </c>
      <c r="N25" s="133">
        <f>VLOOKUP($B25,CODIGOS!$A:$K,11,0)*$G25*1000</f>
        <v>0.84128000000000003</v>
      </c>
    </row>
    <row r="26" spans="1:14" ht="15.75" customHeight="1" x14ac:dyDescent="0.2">
      <c r="A26" s="248" t="s">
        <v>638</v>
      </c>
      <c r="B26" s="122" t="str">
        <f>VLOOKUP($A26,NSN!$A:$B,2,FALSE)</f>
        <v>C903292</v>
      </c>
      <c r="C26" s="123" t="str">
        <f>VLOOKUP($A26,CODIGOS!$B:$E,4,FALSE)</f>
        <v>KG</v>
      </c>
      <c r="D26" s="124">
        <f>($F26*$I$2)/1000</f>
        <v>12</v>
      </c>
      <c r="E26" s="124" t="str">
        <f>IF(VLOOKUP($B26,CODIGOS!$A:$F,6,0)&lt;&gt;1000,(($F26*$I$2)/VLOOKUP($B26,CODIGOS!$A:$F,6,0)),"")</f>
        <v/>
      </c>
      <c r="F26" s="504">
        <v>60</v>
      </c>
      <c r="G26" s="135">
        <f>(F26/1000)*VLOOKUP($B26,CODIGOS!$A:$G,7,0)</f>
        <v>0.06</v>
      </c>
      <c r="H26" s="24">
        <f>VLOOKUP($A26,CODIGOS!$B:$D,2,FALSE)</f>
        <v>1874</v>
      </c>
      <c r="I26" s="147">
        <f t="shared" si="6"/>
        <v>112.44</v>
      </c>
      <c r="J26" s="53">
        <f t="shared" si="7"/>
        <v>22488</v>
      </c>
      <c r="K26" s="131">
        <f>VLOOKUP($B26,CODIGOS!$A:$K,8,0)*$G26*1000</f>
        <v>48.6</v>
      </c>
      <c r="L26" s="132">
        <f>VLOOKUP($B26,CODIGOS!$A:$K,9,0)*$G26*1000</f>
        <v>1.8</v>
      </c>
      <c r="M26" s="132">
        <f>VLOOKUP($B26,CODIGOS!$A:$K,10,0)*$G26*1000</f>
        <v>0</v>
      </c>
      <c r="N26" s="133">
        <f>VLOOKUP($B26,CODIGOS!$A:$K,11,0)*$G26*1000</f>
        <v>12.299999999999999</v>
      </c>
    </row>
    <row r="27" spans="1:14" ht="15.75" customHeight="1" x14ac:dyDescent="0.2">
      <c r="A27" s="248" t="s">
        <v>2028</v>
      </c>
      <c r="B27" s="122" t="str">
        <f>VLOOKUP($A27,NSN!$A:$B,2,FALSE)</f>
        <v>C902636</v>
      </c>
      <c r="C27" s="123" t="str">
        <f>VLOOKUP($A27,CODIGOS!$B:$E,4,FALSE)</f>
        <v>900 ML</v>
      </c>
      <c r="D27" s="124">
        <f t="shared" si="5"/>
        <v>1</v>
      </c>
      <c r="E27" s="124">
        <f>IF(VLOOKUP($B27,CODIGOS!$A:$F,6,0)&lt;&gt;1000,(($F27*$I$2)/VLOOKUP($B27,CODIGOS!$A:$F,6,0)),"")</f>
        <v>1.1111111111111112</v>
      </c>
      <c r="F27" s="506">
        <v>5</v>
      </c>
      <c r="G27" s="135">
        <f>(F27/1000)*VLOOKUP($B27,CODIGOS!$A:$G,7,0)</f>
        <v>5.0000000000000001E-3</v>
      </c>
      <c r="H27" s="24">
        <f>VLOOKUP($A27,CODIGOS!$B:$D,2,FALSE)</f>
        <v>1500</v>
      </c>
      <c r="I27" s="147">
        <f t="shared" si="6"/>
        <v>8.3333333333333339</v>
      </c>
      <c r="J27" s="53">
        <f t="shared" si="7"/>
        <v>1666.6666666666667</v>
      </c>
      <c r="K27" s="131">
        <f>VLOOKUP($B27,CODIGOS!$A:$K,8,0)*$G27*1000</f>
        <v>44.2</v>
      </c>
      <c r="L27" s="132">
        <f>VLOOKUP($B27,CODIGOS!$A:$K,9,0)*$G27*1000</f>
        <v>0</v>
      </c>
      <c r="M27" s="132">
        <f>VLOOKUP($B27,CODIGOS!$A:$K,10,0)*$G27*1000</f>
        <v>5</v>
      </c>
      <c r="N27" s="133">
        <f>VLOOKUP($B27,CODIGOS!$A:$K,11,0)*$G27*1000</f>
        <v>0</v>
      </c>
    </row>
    <row r="28" spans="1:14" ht="15.75" customHeight="1" x14ac:dyDescent="0.2">
      <c r="A28" s="248" t="s">
        <v>653</v>
      </c>
      <c r="B28" s="122" t="str">
        <f>VLOOKUP($A28,NSN!$A:$B,2,FALSE)</f>
        <v>C000528</v>
      </c>
      <c r="C28" s="123" t="str">
        <f>VLOOKUP($A28,CODIGOS!$B:$E,4,FALSE)</f>
        <v>KG</v>
      </c>
      <c r="D28" s="124">
        <f t="shared" si="5"/>
        <v>0.1</v>
      </c>
      <c r="E28" s="124" t="str">
        <f>IF(VLOOKUP($B28,CODIGOS!$A:$F,6,0)&lt;&gt;1000,(($F28*$I$2)/VLOOKUP($B28,CODIGOS!$A:$F,6,0)),"")</f>
        <v/>
      </c>
      <c r="F28" s="505">
        <v>0.5</v>
      </c>
      <c r="G28" s="135">
        <f>(F28/1000)*VLOOKUP($B28,CODIGOS!$A:$G,7,0)</f>
        <v>5.0000000000000001E-4</v>
      </c>
      <c r="H28" s="24">
        <f>VLOOKUP($A28,CODIGOS!$B:$D,2,FALSE)</f>
        <v>375</v>
      </c>
      <c r="I28" s="147">
        <f t="shared" si="6"/>
        <v>0.1875</v>
      </c>
      <c r="J28" s="53">
        <f t="shared" si="7"/>
        <v>37.5</v>
      </c>
      <c r="K28" s="131">
        <f>VLOOKUP($B28,CODIGOS!$A:$K,8,0)*$G28*1000</f>
        <v>0</v>
      </c>
      <c r="L28" s="132">
        <f>VLOOKUP($B28,CODIGOS!$A:$K,9,0)*$G28*1000</f>
        <v>0</v>
      </c>
      <c r="M28" s="132">
        <f>VLOOKUP($B28,CODIGOS!$A:$K,10,0)*$G28*1000</f>
        <v>0</v>
      </c>
      <c r="N28" s="133">
        <f>VLOOKUP($B28,CODIGOS!$A:$K,11,0)*$G28*1000</f>
        <v>0</v>
      </c>
    </row>
    <row r="29" spans="1:14" ht="15.75" customHeight="1" x14ac:dyDescent="0.2">
      <c r="A29" s="248" t="s">
        <v>470</v>
      </c>
      <c r="B29" s="122" t="str">
        <f>VLOOKUP($A29,NSN!$A:$B,2,FALSE)</f>
        <v>V001129</v>
      </c>
      <c r="C29" s="123" t="str">
        <f>VLOOKUP($A29,CODIGOS!$B:$E,4,FALSE)</f>
        <v>500 cc</v>
      </c>
      <c r="D29" s="124">
        <f t="shared" si="5"/>
        <v>2</v>
      </c>
      <c r="E29" s="124">
        <f>IF(VLOOKUP($B29,CODIGOS!$A:$F,6,0)&lt;&gt;1000,(($F29*$I$2)/VLOOKUP($B29,CODIGOS!$A:$F,6,0)),"")</f>
        <v>4</v>
      </c>
      <c r="F29" s="507">
        <v>10</v>
      </c>
      <c r="G29" s="135">
        <f>(F29/1000)*VLOOKUP($B29,CODIGOS!$A:$G,7,0)</f>
        <v>0.01</v>
      </c>
      <c r="H29" s="24">
        <f>VLOOKUP($A29,CODIGOS!$B:$D,2,FALSE)</f>
        <v>1550</v>
      </c>
      <c r="I29" s="147">
        <f t="shared" si="6"/>
        <v>31</v>
      </c>
      <c r="J29" s="53">
        <f t="shared" si="7"/>
        <v>6200</v>
      </c>
      <c r="K29" s="131">
        <f>VLOOKUP($B29,CODIGOS!$A:$K,8,0)*$G29*1000</f>
        <v>2.5</v>
      </c>
      <c r="L29" s="132">
        <f>VLOOKUP($B29,CODIGOS!$A:$K,9,0)*$G29*1000</f>
        <v>0</v>
      </c>
      <c r="M29" s="132">
        <f>VLOOKUP($B29,CODIGOS!$A:$K,10,0)*$G29*1000</f>
        <v>0.01</v>
      </c>
      <c r="N29" s="133">
        <f>VLOOKUP($B29,CODIGOS!$A:$K,11,0)*$G29*1000</f>
        <v>9.370000000000001</v>
      </c>
    </row>
    <row r="30" spans="1:14" ht="15.75" customHeight="1" x14ac:dyDescent="0.2">
      <c r="A30" s="248" t="s">
        <v>1998</v>
      </c>
      <c r="B30" s="122" t="str">
        <f>VLOOKUP($A30,NSN!$A:$B,2,FALSE)</f>
        <v>C903005</v>
      </c>
      <c r="C30" s="123" t="str">
        <f>VLOOKUP($A30,CODIGOS!$B:$E,4,FALSE)</f>
        <v>KG</v>
      </c>
      <c r="D30" s="124">
        <f t="shared" si="5"/>
        <v>34</v>
      </c>
      <c r="E30" s="124" t="str">
        <f>IF(VLOOKUP($B30,CODIGOS!$A:$F,6,0)&lt;&gt;1000,(($F30*$I$2)/VLOOKUP($B30,CODIGOS!$A:$F,6,0)),"")</f>
        <v/>
      </c>
      <c r="F30" s="512">
        <v>170</v>
      </c>
      <c r="G30" s="135">
        <f>(F30/1000)*VLOOKUP($B30,CODIGOS!$A:$G,7,0)</f>
        <v>0.17</v>
      </c>
      <c r="H30" s="24">
        <f>VLOOKUP($A30,CODIGOS!$B:$D,2,FALSE)</f>
        <v>5115</v>
      </c>
      <c r="I30" s="147">
        <f t="shared" si="6"/>
        <v>869.55</v>
      </c>
      <c r="J30" s="53">
        <f t="shared" si="7"/>
        <v>173910</v>
      </c>
      <c r="K30" s="131">
        <f>VLOOKUP($B30,CODIGOS!$A:$K,8,0)*$G30*1000</f>
        <v>287.3</v>
      </c>
      <c r="L30" s="132">
        <f>VLOOKUP($B30,CODIGOS!$A:$K,9,0)*$G30*1000</f>
        <v>18.700000000000003</v>
      </c>
      <c r="M30" s="132">
        <f>VLOOKUP($B30,CODIGOS!$A:$K,10,0)*$G30*1000</f>
        <v>11.900000000000002</v>
      </c>
      <c r="N30" s="133">
        <f>VLOOKUP($B30,CODIGOS!$A:$K,11,0)*$G30*1000</f>
        <v>18.700000000000003</v>
      </c>
    </row>
    <row r="31" spans="1:14" ht="15.75" customHeight="1" x14ac:dyDescent="0.2">
      <c r="A31" s="248" t="s">
        <v>653</v>
      </c>
      <c r="B31" s="122" t="str">
        <f>VLOOKUP($A31,NSN!$A:$B,2,FALSE)</f>
        <v>C000528</v>
      </c>
      <c r="C31" s="123" t="str">
        <f>VLOOKUP($A31,CODIGOS!$B:$E,4,FALSE)</f>
        <v>KG</v>
      </c>
      <c r="D31" s="124">
        <f t="shared" si="5"/>
        <v>0.1</v>
      </c>
      <c r="E31" s="124" t="str">
        <f>IF(VLOOKUP($B31,CODIGOS!$A:$F,6,0)&lt;&gt;1000,(($F31*$I$2)/VLOOKUP($B31,CODIGOS!$A:$F,6,0)),"")</f>
        <v/>
      </c>
      <c r="F31" s="512">
        <v>0.5</v>
      </c>
      <c r="G31" s="135">
        <f>(F31/1000)*VLOOKUP($B31,CODIGOS!$A:$G,7,0)</f>
        <v>5.0000000000000001E-4</v>
      </c>
      <c r="H31" s="24">
        <f>VLOOKUP($A31,CODIGOS!$B:$D,2,FALSE)</f>
        <v>375</v>
      </c>
      <c r="I31" s="147">
        <f t="shared" si="6"/>
        <v>0.1875</v>
      </c>
      <c r="J31" s="53">
        <f t="shared" si="7"/>
        <v>37.5</v>
      </c>
      <c r="K31" s="131">
        <f>VLOOKUP($B31,CODIGOS!$A:$K,8,0)*$G31*1000</f>
        <v>0</v>
      </c>
      <c r="L31" s="132">
        <f>VLOOKUP($B31,CODIGOS!$A:$K,9,0)*$G31*1000</f>
        <v>0</v>
      </c>
      <c r="M31" s="132">
        <f>VLOOKUP($B31,CODIGOS!$A:$K,10,0)*$G31*1000</f>
        <v>0</v>
      </c>
      <c r="N31" s="133">
        <f>VLOOKUP($B31,CODIGOS!$A:$K,11,0)*$G31*1000</f>
        <v>0</v>
      </c>
    </row>
    <row r="32" spans="1:14" ht="15.75" customHeight="1" x14ac:dyDescent="0.2">
      <c r="A32" s="248" t="s">
        <v>2028</v>
      </c>
      <c r="B32" s="122" t="str">
        <f>VLOOKUP($A32,NSN!$A:$B,2,FALSE)</f>
        <v>C902636</v>
      </c>
      <c r="C32" s="123" t="str">
        <f>VLOOKUP($A32,CODIGOS!$B:$E,4,FALSE)</f>
        <v>900 ML</v>
      </c>
      <c r="D32" s="124">
        <f t="shared" si="5"/>
        <v>1</v>
      </c>
      <c r="E32" s="124">
        <f>IF(VLOOKUP($B32,CODIGOS!$A:$F,6,0)&lt;&gt;1000,(($F32*$I$2)/VLOOKUP($B32,CODIGOS!$A:$F,6,0)),"")</f>
        <v>1.1111111111111112</v>
      </c>
      <c r="F32" s="501">
        <v>5</v>
      </c>
      <c r="G32" s="135">
        <f>(F32/1000)*VLOOKUP($B32,CODIGOS!$A:$G,7,0)</f>
        <v>5.0000000000000001E-3</v>
      </c>
      <c r="H32" s="24">
        <f>VLOOKUP($A32,CODIGOS!$B:$D,2,FALSE)</f>
        <v>1500</v>
      </c>
      <c r="I32" s="147">
        <f t="shared" si="6"/>
        <v>8.3333333333333339</v>
      </c>
      <c r="J32" s="53">
        <f t="shared" si="7"/>
        <v>1666.6666666666667</v>
      </c>
      <c r="K32" s="131">
        <f>VLOOKUP($B32,CODIGOS!$A:$K,8,0)*$G32*1000</f>
        <v>44.2</v>
      </c>
      <c r="L32" s="132">
        <f>VLOOKUP($B32,CODIGOS!$A:$K,9,0)*$G32*1000</f>
        <v>0</v>
      </c>
      <c r="M32" s="132">
        <f>VLOOKUP($B32,CODIGOS!$A:$K,10,0)*$G32*1000</f>
        <v>5</v>
      </c>
      <c r="N32" s="133">
        <f>VLOOKUP($B32,CODIGOS!$A:$K,11,0)*$G32*1000</f>
        <v>0</v>
      </c>
    </row>
    <row r="33" spans="1:14" ht="15.75" customHeight="1" x14ac:dyDescent="0.2">
      <c r="A33" s="248" t="s">
        <v>424</v>
      </c>
      <c r="B33" s="122" t="str">
        <f>VLOOKUP($A33,NSN!$A:$B,2,FALSE)</f>
        <v>C902418</v>
      </c>
      <c r="C33" s="123" t="str">
        <f>VLOOKUP($A33,CODIGOS!$B:$E,4,FALSE)</f>
        <v>KG</v>
      </c>
      <c r="D33" s="124">
        <f>($F33*$I$2)/1000</f>
        <v>10</v>
      </c>
      <c r="E33" s="124" t="str">
        <f>IF(VLOOKUP($B33,CODIGOS!$A:$F,6,0)&lt;&gt;1000,(($F33*$I$2)/VLOOKUP($B33,CODIGOS!$A:$F,6,0)),"")</f>
        <v/>
      </c>
      <c r="F33" s="504">
        <v>50</v>
      </c>
      <c r="G33" s="135">
        <f>(F33/1000)*VLOOKUP($B33,CODIGOS!$A:$G,7,0)</f>
        <v>0.05</v>
      </c>
      <c r="H33" s="24">
        <f>VLOOKUP($A33,CODIGOS!$B:$D,2,FALSE)</f>
        <v>4993</v>
      </c>
      <c r="I33" s="147">
        <f t="shared" si="6"/>
        <v>249.65</v>
      </c>
      <c r="J33" s="53">
        <f t="shared" si="7"/>
        <v>49930</v>
      </c>
      <c r="K33" s="131">
        <f>VLOOKUP($B33,CODIGOS!$A:$K,8,0)*$G33*1000</f>
        <v>174.00000000000003</v>
      </c>
      <c r="L33" s="132">
        <f>VLOOKUP($B33,CODIGOS!$A:$K,9,0)*$G33*1000</f>
        <v>3.2</v>
      </c>
      <c r="M33" s="132">
        <f>VLOOKUP($B33,CODIGOS!$A:$K,10,0)*$G33*1000</f>
        <v>0.5</v>
      </c>
      <c r="N33" s="133">
        <f>VLOOKUP($B33,CODIGOS!$A:$K,11,0)*$G33*1000</f>
        <v>39.1</v>
      </c>
    </row>
    <row r="34" spans="1:14" ht="15.75" customHeight="1" x14ac:dyDescent="0.2">
      <c r="A34" s="248" t="s">
        <v>412</v>
      </c>
      <c r="B34" s="122" t="str">
        <f>VLOOKUP($A34,NSN!$A:$B,2,FALSE)</f>
        <v>C903335</v>
      </c>
      <c r="C34" s="123" t="str">
        <f>VLOOKUP($A34,CODIGOS!$B:$E,4,FALSE)</f>
        <v>800 grs</v>
      </c>
      <c r="D34" s="124">
        <f t="shared" si="5"/>
        <v>2</v>
      </c>
      <c r="E34" s="124">
        <f>IF(VLOOKUP($B34,CODIGOS!$A:$F,6,0)&lt;&gt;1000,(($F34*$I$2)/VLOOKUP($B34,CODIGOS!$A:$F,6,0)),"")</f>
        <v>2.5</v>
      </c>
      <c r="F34" s="512">
        <v>10</v>
      </c>
      <c r="G34" s="135">
        <f>(F34/1000)*VLOOKUP($B34,CODIGOS!$A:$G,7,0)</f>
        <v>0.01</v>
      </c>
      <c r="H34" s="24">
        <f>VLOOKUP($A34,CODIGOS!$B:$D,2,FALSE)</f>
        <v>4975</v>
      </c>
      <c r="I34" s="147">
        <f t="shared" si="6"/>
        <v>62.1875</v>
      </c>
      <c r="J34" s="53">
        <f t="shared" ref="J34:J35" si="8">IF(H34="S/STOCK","",IF($E34="",$D34*$H34,$E34*$H34))</f>
        <v>12437.5</v>
      </c>
      <c r="K34" s="131">
        <f>VLOOKUP($B34,CODIGOS!$A:$K,8,0)*$G34*1000</f>
        <v>35.299999999999997</v>
      </c>
      <c r="L34" s="132">
        <f>VLOOKUP($B34,CODIGOS!$A:$K,9,0)*$G34*1000</f>
        <v>4.0100000000000007</v>
      </c>
      <c r="M34" s="132">
        <f>VLOOKUP($B34,CODIGOS!$A:$K,10,0)*$G34*1000</f>
        <v>0.01</v>
      </c>
      <c r="N34" s="133">
        <f>VLOOKUP($B34,CODIGOS!$A:$K,11,0)*$G34*1000</f>
        <v>4.79</v>
      </c>
    </row>
    <row r="35" spans="1:14" ht="15.75" customHeight="1" x14ac:dyDescent="0.2">
      <c r="A35" s="248" t="s">
        <v>565</v>
      </c>
      <c r="B35" s="122" t="str">
        <f>VLOOKUP($A35,NSN!$A:$B,2,FALSE)</f>
        <v>V000192</v>
      </c>
      <c r="C35" s="123" t="str">
        <f>VLOOKUP($A35,CODIGOS!$B:$E,4,FALSE)</f>
        <v>KG</v>
      </c>
      <c r="D35" s="124">
        <f t="shared" si="5"/>
        <v>1</v>
      </c>
      <c r="E35" s="124" t="str">
        <f>IF(VLOOKUP($B35,CODIGOS!$A:$F,6,0)&lt;&gt;1000,(($F35*$I$2)/VLOOKUP($B35,CODIGOS!$A:$F,6,0)),"")</f>
        <v/>
      </c>
      <c r="F35" s="501">
        <v>5</v>
      </c>
      <c r="G35" s="135">
        <f>(F35/1000)*VLOOKUP($B35,CODIGOS!$A:$G,7,0)</f>
        <v>5.0000000000000001E-3</v>
      </c>
      <c r="H35" s="24">
        <f>VLOOKUP($A35,CODIGOS!$B:$D,2,FALSE)</f>
        <v>4450</v>
      </c>
      <c r="I35" s="147">
        <f t="shared" si="6"/>
        <v>22.25</v>
      </c>
      <c r="J35" s="53">
        <f t="shared" si="8"/>
        <v>4450</v>
      </c>
      <c r="K35" s="131">
        <f>VLOOKUP($B35,CODIGOS!$A:$K,8,0)*$G35*1000</f>
        <v>37.299999999999997</v>
      </c>
      <c r="L35" s="132">
        <f>VLOOKUP($B35,CODIGOS!$A:$K,9,0)*$G35*1000</f>
        <v>4.5000000000000005E-2</v>
      </c>
      <c r="M35" s="132">
        <f>VLOOKUP($B35,CODIGOS!$A:$K,10,0)*$G35*1000</f>
        <v>4.1450000000000005</v>
      </c>
      <c r="N35" s="133">
        <f>VLOOKUP($B35,CODIGOS!$A:$K,11,0)*$G35*1000</f>
        <v>5.0000000000000001E-3</v>
      </c>
    </row>
    <row r="36" spans="1:14" ht="15.75" customHeight="1" x14ac:dyDescent="0.2">
      <c r="A36" s="248" t="s">
        <v>653</v>
      </c>
      <c r="B36" s="122" t="str">
        <f>VLOOKUP($A36,NSN!$A:$B,2,FALSE)</f>
        <v>C000528</v>
      </c>
      <c r="C36" s="123" t="str">
        <f>VLOOKUP($A36,CODIGOS!$B:$E,4,FALSE)</f>
        <v>KG</v>
      </c>
      <c r="D36" s="124">
        <f>($F36*$I$2)/1000</f>
        <v>0.1</v>
      </c>
      <c r="E36" s="124" t="str">
        <f>IF(VLOOKUP($B36,CODIGOS!$A:$F,6,0)&lt;&gt;1000,(($F36*$I$2)/VLOOKUP($B36,CODIGOS!$A:$F,6,0)),"")</f>
        <v/>
      </c>
      <c r="F36" s="504">
        <v>0.5</v>
      </c>
      <c r="G36" s="135">
        <f>(F36/1000)*VLOOKUP($B36,CODIGOS!$A:$G,7,0)</f>
        <v>5.0000000000000001E-4</v>
      </c>
      <c r="H36" s="24">
        <f>VLOOKUP($A36,CODIGOS!$B:$D,2,FALSE)</f>
        <v>375</v>
      </c>
      <c r="I36" s="147">
        <f t="shared" si="6"/>
        <v>0.1875</v>
      </c>
      <c r="J36" s="53">
        <f t="shared" si="7"/>
        <v>37.5</v>
      </c>
      <c r="K36" s="131">
        <f>VLOOKUP($B36,CODIGOS!$A:$K,8,0)*$G36*1000</f>
        <v>0</v>
      </c>
      <c r="L36" s="132">
        <f>VLOOKUP($B36,CODIGOS!$A:$K,9,0)*$G36*1000</f>
        <v>0</v>
      </c>
      <c r="M36" s="132">
        <f>VLOOKUP($B36,CODIGOS!$A:$K,10,0)*$G36*1000</f>
        <v>0</v>
      </c>
      <c r="N36" s="133">
        <f>VLOOKUP($B36,CODIGOS!$A:$K,11,0)*$G36*1000</f>
        <v>0</v>
      </c>
    </row>
    <row r="37" spans="1:14" ht="15.75" customHeight="1" thickBot="1" x14ac:dyDescent="0.25">
      <c r="A37" s="248" t="s">
        <v>317</v>
      </c>
      <c r="B37" s="148" t="str">
        <f>VLOOKUP($A37,NSN!$A:$B,2,FALSE)</f>
        <v>C902854</v>
      </c>
      <c r="C37" s="149" t="str">
        <f>VLOOKUP($A37,CODIGOS!$B:$E,4,FALSE)</f>
        <v>KG</v>
      </c>
      <c r="D37" s="150">
        <f t="shared" si="5"/>
        <v>2.8</v>
      </c>
      <c r="E37" s="150" t="str">
        <f>IF(VLOOKUP($B37,CODIGOS!$A:$F,6,0)&lt;&gt;1000,(($F37*$I$2)/VLOOKUP($B37,CODIGOS!$A:$F,6,0)),"")</f>
        <v/>
      </c>
      <c r="F37" s="502">
        <v>14</v>
      </c>
      <c r="G37" s="242">
        <f>(F37/1000)*VLOOKUP($B37,CODIGOS!$A:$G,7,0)</f>
        <v>1.4E-2</v>
      </c>
      <c r="H37" s="222">
        <f>VLOOKUP($A37,CODIGOS!$B:$D,2,FALSE)</f>
        <v>4054</v>
      </c>
      <c r="I37" s="243">
        <f t="shared" si="6"/>
        <v>56.755999999999993</v>
      </c>
      <c r="J37" s="229">
        <f>IF(H37="S/STOCK","",IF($E37="",$D37*$H37,$E37*$H37))</f>
        <v>11351.199999999999</v>
      </c>
      <c r="K37" s="238">
        <f>VLOOKUP($B37,CODIGOS!$A:$K,8,0)*$G37*1000</f>
        <v>50.960000000000008</v>
      </c>
      <c r="L37" s="230">
        <f>VLOOKUP($B37,CODIGOS!$A:$K,9,0)*$G37*1000</f>
        <v>2.8840000000000003</v>
      </c>
      <c r="M37" s="230">
        <f>VLOOKUP($B37,CODIGOS!$A:$K,10,0)*$G37*1000</f>
        <v>0.16800000000000001</v>
      </c>
      <c r="N37" s="231">
        <f>VLOOKUP($B37,CODIGOS!$A:$K,11,0)*$G37*1000</f>
        <v>9.7160000000000011</v>
      </c>
    </row>
    <row r="38" spans="1:14" ht="15.75" customHeight="1" thickBot="1" x14ac:dyDescent="0.25">
      <c r="A38" s="17" t="s">
        <v>627</v>
      </c>
      <c r="B38" s="33"/>
      <c r="C38" s="18"/>
      <c r="D38" s="126"/>
      <c r="E38" s="126"/>
      <c r="F38" s="211"/>
      <c r="G38" s="19"/>
      <c r="H38" s="41"/>
      <c r="I38" s="249">
        <f t="shared" ref="I38:N38" si="9">SUM(I23:I37)</f>
        <v>1601.089435897436</v>
      </c>
      <c r="J38" s="250">
        <f t="shared" si="9"/>
        <v>320217.88717948721</v>
      </c>
      <c r="K38" s="251">
        <f t="shared" si="9"/>
        <v>910.66560000000004</v>
      </c>
      <c r="L38" s="251">
        <f t="shared" si="9"/>
        <v>35.389080000000007</v>
      </c>
      <c r="M38" s="251">
        <f t="shared" si="9"/>
        <v>28.885960000000004</v>
      </c>
      <c r="N38" s="252">
        <f t="shared" si="9"/>
        <v>130.99827999999999</v>
      </c>
    </row>
    <row r="39" spans="1:14" ht="15.75" customHeight="1" thickBot="1" x14ac:dyDescent="0.25">
      <c r="A39" s="106" t="s">
        <v>23</v>
      </c>
      <c r="B39" s="107"/>
      <c r="C39" s="107"/>
      <c r="D39" s="107"/>
      <c r="E39" s="107"/>
      <c r="F39" s="212"/>
      <c r="G39" s="107"/>
      <c r="H39" s="107"/>
      <c r="I39" s="107"/>
      <c r="J39" s="107"/>
      <c r="K39" s="107"/>
      <c r="L39" s="107"/>
      <c r="M39" s="107"/>
      <c r="N39" s="108"/>
    </row>
    <row r="40" spans="1:14" ht="15.75" customHeight="1" x14ac:dyDescent="0.2">
      <c r="A40" s="396" t="s">
        <v>72</v>
      </c>
      <c r="B40" s="141" t="str">
        <f>VLOOKUP($A40,NSN!$A:$B,2,FALSE)</f>
        <v>C902859</v>
      </c>
      <c r="C40" s="142" t="str">
        <f>VLOOKUP($A40,CODIGOS!$B:$E,4,FALSE)</f>
        <v>KG</v>
      </c>
      <c r="D40" s="143">
        <f t="shared" ref="D40:D59" si="10">($F40*$I$3)/1000</f>
        <v>0.48</v>
      </c>
      <c r="E40" s="143" t="str">
        <f>IF(VLOOKUP($B40,CODIGOS!$A:$F,6,0)&lt;&gt;1000,(($F40*$I$3)/VLOOKUP($B40,CODIGOS!$A:$F,6,0)),"")</f>
        <v/>
      </c>
      <c r="F40" s="207">
        <v>6</v>
      </c>
      <c r="G40" s="144">
        <f>(F40/1000)*VLOOKUP($B40,CODIGOS!$A:$G,7,0)</f>
        <v>6.0000000000000001E-3</v>
      </c>
      <c r="H40" s="25">
        <f>VLOOKUP($A40,CODIGOS!$B:$D,2,FALSE)</f>
        <v>2986</v>
      </c>
      <c r="I40" s="25">
        <f>IF($H40="S/STOCK","",$J40/$I$3)</f>
        <v>17.916</v>
      </c>
      <c r="J40" s="25">
        <f>IF(H40="S/STOCK","",IF($E40="",$D40*$H40,$E40*$H40))</f>
        <v>1433.28</v>
      </c>
      <c r="K40" s="144">
        <f>VLOOKUP($B40,CODIGOS!$A:$K,8,0)*$G40*1000</f>
        <v>21.54</v>
      </c>
      <c r="L40" s="144">
        <f>VLOOKUP($B40,CODIGOS!$A:$K,9,0)*$G40*1000</f>
        <v>0</v>
      </c>
      <c r="M40" s="144">
        <f>VLOOKUP($B40,CODIGOS!$A:$K,10,0)*$G40*1000</f>
        <v>0</v>
      </c>
      <c r="N40" s="220">
        <f>VLOOKUP($B40,CODIGOS!$A:$K,11,0)*$G40*1000</f>
        <v>5.3759999999999994</v>
      </c>
    </row>
    <row r="41" spans="1:14" ht="15.75" customHeight="1" x14ac:dyDescent="0.2">
      <c r="A41" s="248" t="s">
        <v>13</v>
      </c>
      <c r="B41" s="122" t="str">
        <f>VLOOKUP($A41,NSN!$A:$B,2,FALSE)</f>
        <v>V000415</v>
      </c>
      <c r="C41" s="123" t="str">
        <f>VLOOKUP($A41,CODIGOS!$B:$E,4,FALSE)</f>
        <v>KG</v>
      </c>
      <c r="D41" s="124">
        <f t="shared" si="10"/>
        <v>4</v>
      </c>
      <c r="E41" s="124" t="str">
        <f>IF(VLOOKUP($B41,CODIGOS!$A:$F,6,0)&lt;&gt;1000,(($F41*$I$3)/VLOOKUP($B41,CODIGOS!$A:$F,6,0)),"")</f>
        <v/>
      </c>
      <c r="F41" s="206">
        <v>50</v>
      </c>
      <c r="G41" s="125">
        <f>(F41/1000)*VLOOKUP($B41,CODIGOS!$A:$G,7,0)</f>
        <v>0.05</v>
      </c>
      <c r="H41" s="24">
        <f>VLOOKUP($A41,CODIGOS!$B:$D,2,FALSE)</f>
        <v>1783</v>
      </c>
      <c r="I41" s="24">
        <f t="shared" ref="I41:I59" si="11">IF($H41="S/STOCK","",$J41/$I$3)</f>
        <v>89.15</v>
      </c>
      <c r="J41" s="24">
        <f t="shared" ref="J41:J59" si="12">IF(H41="S/STOCK","",IF($E41="",$D41*$H41,$E41*$H41))</f>
        <v>7132</v>
      </c>
      <c r="K41" s="125">
        <f>VLOOKUP($B41,CODIGOS!$A:$K,8,0)*$G41*1000</f>
        <v>157.5</v>
      </c>
      <c r="L41" s="125">
        <f>VLOOKUP($B41,CODIGOS!$A:$K,9,0)*$G41*1000</f>
        <v>4.0999999999999996</v>
      </c>
      <c r="M41" s="125">
        <f>VLOOKUP($B41,CODIGOS!$A:$K,10,0)*$G41*1000</f>
        <v>2</v>
      </c>
      <c r="N41" s="221">
        <f>VLOOKUP($B41,CODIGOS!$A:$K,11,0)*$G41*1000</f>
        <v>30.8</v>
      </c>
    </row>
    <row r="42" spans="1:14" ht="15.75" customHeight="1" x14ac:dyDescent="0.2">
      <c r="A42" s="248" t="s">
        <v>37</v>
      </c>
      <c r="B42" s="122" t="str">
        <f>VLOOKUP($A42,NSN!$A:$B,2,FALSE)</f>
        <v>C000193</v>
      </c>
      <c r="C42" s="123" t="str">
        <f>VLOOKUP($A42,CODIGOS!$B:$E,4,FALSE)</f>
        <v>KG</v>
      </c>
      <c r="D42" s="124">
        <f t="shared" si="10"/>
        <v>1.2</v>
      </c>
      <c r="E42" s="124" t="str">
        <f>IF(VLOOKUP($B42,CODIGOS!$A:$F,6,0)&lt;&gt;1000,(($F42*$I$2)/VLOOKUP($B42,CODIGOS!$A:$F,6,0)),"")</f>
        <v/>
      </c>
      <c r="F42" s="504">
        <v>15</v>
      </c>
      <c r="G42" s="135">
        <f>(F42/1000)*VLOOKUP($B42,CODIGOS!$A:$G,7,0)</f>
        <v>1.4999999999999999E-2</v>
      </c>
      <c r="H42" s="24">
        <f>VLOOKUP($A42,CODIGOS!$B:$D,2,FALSE)</f>
        <v>2056</v>
      </c>
      <c r="I42" s="147">
        <f>IF($H42="S/STOCK","",$J42/$I$2)</f>
        <v>12.335999999999999</v>
      </c>
      <c r="J42" s="53">
        <f>IF(H42="S/STOCK","",IF($E42="",$D42*$H42,$E42*$H42))</f>
        <v>2467.1999999999998</v>
      </c>
      <c r="K42" s="131">
        <f>VLOOKUP($B42,CODIGOS!$A:$K,8,0)*$G42*1000</f>
        <v>50.55</v>
      </c>
      <c r="L42" s="132">
        <f>VLOOKUP($B42,CODIGOS!$A:$K,9,0)*$G42*1000</f>
        <v>3.6</v>
      </c>
      <c r="M42" s="132">
        <f>VLOOKUP($B42,CODIGOS!$A:$K,10,0)*$G42*1000</f>
        <v>0.19500000000000001</v>
      </c>
      <c r="N42" s="133">
        <f>VLOOKUP($B42,CODIGOS!$A:$K,11,0)*$G42*1000</f>
        <v>8.61</v>
      </c>
    </row>
    <row r="43" spans="1:14" ht="15.75" customHeight="1" x14ac:dyDescent="0.2">
      <c r="A43" s="248" t="s">
        <v>147</v>
      </c>
      <c r="B43" s="122" t="str">
        <f>VLOOKUP($A43,NSN!$A:$B,2,FALSE)</f>
        <v>V000014</v>
      </c>
      <c r="C43" s="123" t="str">
        <f>VLOOKUP($A43,CODIGOS!$B:$E,4,FALSE)</f>
        <v>NR 35 g</v>
      </c>
      <c r="D43" s="124">
        <f t="shared" si="10"/>
        <v>0.04</v>
      </c>
      <c r="E43" s="124">
        <f>IF(VLOOKUP($B43,CODIGOS!$A:$F,6,0)&lt;&gt;1000,(($F43*$I$2)/VLOOKUP($B43,CODIGOS!$A:$F,6,0)),"")</f>
        <v>2.8571428571428572</v>
      </c>
      <c r="F43" s="504">
        <v>0.5</v>
      </c>
      <c r="G43" s="135">
        <f>(F43/1000)*VLOOKUP($B43,CODIGOS!$A:$G,7,0)</f>
        <v>5.0000000000000001E-4</v>
      </c>
      <c r="H43" s="24">
        <f>VLOOKUP($A43,CODIGOS!$B:$D,2,FALSE)</f>
        <v>297</v>
      </c>
      <c r="I43" s="147">
        <f>IF($H43="S/STOCK","",$J43/$I$2)</f>
        <v>4.2428571428571429</v>
      </c>
      <c r="J43" s="53">
        <f t="shared" ref="J43" si="13">IF(H43="S/STOCK","",IF($E43="",$D43*$H43,$E43*$H43))</f>
        <v>848.57142857142856</v>
      </c>
      <c r="K43" s="131">
        <f>VLOOKUP($B43,CODIGOS!$A:$K,8,0)*$G43*1000</f>
        <v>0.69499999999999995</v>
      </c>
      <c r="L43" s="132">
        <f>VLOOKUP($B43,CODIGOS!$A:$K,9,0)*$G43*1000</f>
        <v>3.3500000000000002E-2</v>
      </c>
      <c r="M43" s="132">
        <f>VLOOKUP($B43,CODIGOS!$A:$K,10,0)*$G43*1000</f>
        <v>2E-3</v>
      </c>
      <c r="N43" s="133">
        <f>VLOOKUP($B43,CODIGOS!$A:$K,11,0)*$G43*1000</f>
        <v>0.13600000000000004</v>
      </c>
    </row>
    <row r="44" spans="1:14" ht="15.75" customHeight="1" x14ac:dyDescent="0.2">
      <c r="A44" s="248" t="s">
        <v>14</v>
      </c>
      <c r="B44" s="122" t="str">
        <f>VLOOKUP($A44,NSN!$A:$B,2,FALSE)</f>
        <v>V000231</v>
      </c>
      <c r="C44" s="123" t="str">
        <f>VLOOKUP($A44,CODIGOS!$B:$E,4,FALSE)</f>
        <v>NR 200 gr</v>
      </c>
      <c r="D44" s="124">
        <f t="shared" si="10"/>
        <v>0.04</v>
      </c>
      <c r="E44" s="124">
        <f>IF(VLOOKUP($B44,CODIGOS!$A:$F,6,0)&lt;&gt;1000,(($F44*$I$2)/VLOOKUP($B44,CODIGOS!$A:$F,6,0)),"")</f>
        <v>0.5</v>
      </c>
      <c r="F44" s="504">
        <v>0.5</v>
      </c>
      <c r="G44" s="135">
        <f>(F44/1000)*VLOOKUP($B44,CODIGOS!$A:$G,7,0)</f>
        <v>4.3850000000000003E-4</v>
      </c>
      <c r="H44" s="24">
        <f>VLOOKUP($A44,CODIGOS!$B:$D,2,FALSE)</f>
        <v>774</v>
      </c>
      <c r="I44" s="147">
        <f>IF($H44="S/STOCK","",$J44/$I$2)</f>
        <v>1.9350000000000001</v>
      </c>
      <c r="J44" s="53">
        <f>IF(H44="S/STOCK","",IF($E44="",$D44*$H44,$E44*$H44))</f>
        <v>387</v>
      </c>
      <c r="K44" s="131">
        <f>VLOOKUP($B44,CODIGOS!$A:$K,8,0)*$G44*1000</f>
        <v>0.25871500000000003</v>
      </c>
      <c r="L44" s="132">
        <f>VLOOKUP($B44,CODIGOS!$A:$K,9,0)*$G44*1000</f>
        <v>1.3593500000000001E-2</v>
      </c>
      <c r="M44" s="132">
        <f>VLOOKUP($B44,CODIGOS!$A:$K,10,0)*$G44*1000</f>
        <v>2.6310000000000001E-3</v>
      </c>
      <c r="N44" s="133">
        <f>VLOOKUP($B44,CODIGOS!$A:$K,11,0)*$G44*1000</f>
        <v>4.5165500000000004E-2</v>
      </c>
    </row>
    <row r="45" spans="1:14" ht="15.75" customHeight="1" x14ac:dyDescent="0.2">
      <c r="A45" s="248" t="s">
        <v>11</v>
      </c>
      <c r="B45" s="122" t="str">
        <f>VLOOKUP($A45,NSN!$A:$B,2,FALSE)</f>
        <v>C002832</v>
      </c>
      <c r="C45" s="123" t="str">
        <f>VLOOKUP($A45,CODIGOS!$B:$E,4,FALSE)</f>
        <v>KG</v>
      </c>
      <c r="D45" s="124">
        <f t="shared" si="10"/>
        <v>0.4</v>
      </c>
      <c r="E45" s="124" t="str">
        <f>IF(VLOOKUP($B45,CODIGOS!$A:$F,6,0)&lt;&gt;1000,(($F45*$I$3)/VLOOKUP($B45,CODIGOS!$A:$F,6,0)),"")</f>
        <v/>
      </c>
      <c r="F45" s="501">
        <v>5</v>
      </c>
      <c r="G45" s="125">
        <f>(F45/1000)*VLOOKUP($B45,CODIGOS!$A:$G,7,0)</f>
        <v>5.0000000000000001E-3</v>
      </c>
      <c r="H45" s="24">
        <f>VLOOKUP($A45,CODIGOS!$B:$D,2,FALSE)</f>
        <v>1384</v>
      </c>
      <c r="I45" s="24">
        <f t="shared" si="11"/>
        <v>6.92</v>
      </c>
      <c r="J45" s="24">
        <f t="shared" ref="J45:J46" si="14">IF(H45="S/STOCK","",IF($E45="",$D45*$H45,$E45*$H45))</f>
        <v>553.6</v>
      </c>
      <c r="K45" s="125">
        <f>VLOOKUP($B45,CODIGOS!$A:$K,8,0)*$G45*1000</f>
        <v>17.600000000000001</v>
      </c>
      <c r="L45" s="125">
        <f>VLOOKUP($B45,CODIGOS!$A:$K,9,0)*$G45*1000</f>
        <v>0.32</v>
      </c>
      <c r="M45" s="125">
        <f>VLOOKUP($B45,CODIGOS!$A:$K,10,0)*$G45*1000</f>
        <v>0.04</v>
      </c>
      <c r="N45" s="221">
        <f>VLOOKUP($B45,CODIGOS!$A:$K,11,0)*$G45*1000</f>
        <v>3.9850000000000008</v>
      </c>
    </row>
    <row r="46" spans="1:14" ht="15.75" customHeight="1" x14ac:dyDescent="0.2">
      <c r="A46" s="248" t="s">
        <v>16</v>
      </c>
      <c r="B46" s="122" t="str">
        <f>VLOOKUP($A46,NSN!$A:$B,2,FALSE)</f>
        <v>V000332</v>
      </c>
      <c r="C46" s="123" t="str">
        <f>VLOOKUP($A46,CODIGOS!$B:$E,4,FALSE)</f>
        <v>KG</v>
      </c>
      <c r="D46" s="124">
        <f t="shared" si="10"/>
        <v>1.2</v>
      </c>
      <c r="E46" s="124" t="str">
        <f>IF(VLOOKUP($B46,CODIGOS!$A:$F,6,0)&lt;&gt;1000,(($F46*$I$3)/VLOOKUP($B46,CODIGOS!$A:$F,6,0)),"")</f>
        <v/>
      </c>
      <c r="F46" s="501">
        <v>15</v>
      </c>
      <c r="G46" s="125">
        <f>(F46/1000)*VLOOKUP($B46,CODIGOS!$A:$G,7,0)</f>
        <v>1.4055E-2</v>
      </c>
      <c r="H46" s="24">
        <f>VLOOKUP($A46,CODIGOS!$B:$D,2,FALSE)</f>
        <v>1456</v>
      </c>
      <c r="I46" s="24">
        <f t="shared" si="11"/>
        <v>21.84</v>
      </c>
      <c r="J46" s="24">
        <f t="shared" si="14"/>
        <v>1747.2</v>
      </c>
      <c r="K46" s="125">
        <f>VLOOKUP($B46,CODIGOS!$A:$K,8,0)*$G46*1000</f>
        <v>4.7787000000000006</v>
      </c>
      <c r="L46" s="125">
        <f>VLOOKUP($B46,CODIGOS!$A:$K,9,0)*$G46*1000</f>
        <v>2.811E-2</v>
      </c>
      <c r="M46" s="125">
        <f>VLOOKUP($B46,CODIGOS!$A:$K,10,0)*$G46*1000</f>
        <v>8.4330000000000002E-2</v>
      </c>
      <c r="N46" s="221">
        <f>VLOOKUP($B46,CODIGOS!$A:$K,11,0)*$G46*1000</f>
        <v>0.98385000000000011</v>
      </c>
    </row>
    <row r="47" spans="1:14" ht="15.75" customHeight="1" x14ac:dyDescent="0.2">
      <c r="A47" s="248" t="s">
        <v>414</v>
      </c>
      <c r="B47" s="122" t="str">
        <f>VLOOKUP($A47,NSN!$A:$B,2,FALSE)</f>
        <v>C902737</v>
      </c>
      <c r="C47" s="123" t="str">
        <f>VLOOKUP($A47,CODIGOS!$B:$E,4,FALSE)</f>
        <v>KG</v>
      </c>
      <c r="D47" s="124">
        <f t="shared" si="10"/>
        <v>13.6</v>
      </c>
      <c r="E47" s="124" t="str">
        <f>IF(VLOOKUP($B47,CODIGOS!$A:$F,6,0)&lt;&gt;1000,(($F47*$I$2)/VLOOKUP($B47,CODIGOS!$A:$F,6,0)),"")</f>
        <v/>
      </c>
      <c r="F47" s="504">
        <v>170</v>
      </c>
      <c r="G47" s="135">
        <f>(F47/1000)*VLOOKUP($B47,CODIGOS!$A:$G,7,0)</f>
        <v>0.13549000000000003</v>
      </c>
      <c r="H47" s="24">
        <f>VLOOKUP($A47,CODIGOS!$B:$D,2,FALSE)</f>
        <v>3900</v>
      </c>
      <c r="I47" s="147">
        <f>IF($H47="S/STOCK","",$J47/$I$2)</f>
        <v>265.2</v>
      </c>
      <c r="J47" s="53">
        <f t="shared" si="12"/>
        <v>53040</v>
      </c>
      <c r="K47" s="131">
        <f>VLOOKUP($B47,CODIGOS!$A:$K,8,0)*$G47*1000</f>
        <v>178.84680000000006</v>
      </c>
      <c r="L47" s="132">
        <f>VLOOKUP($B47,CODIGOS!$A:$K,9,0)*$G47*1000</f>
        <v>28.723880000000005</v>
      </c>
      <c r="M47" s="132">
        <f>VLOOKUP($B47,CODIGOS!$A:$K,10,0)*$G47*1000</f>
        <v>5.9615600000000022</v>
      </c>
      <c r="N47" s="133">
        <f>VLOOKUP($B47,CODIGOS!$A:$K,11,0)*$G47*1000</f>
        <v>2.4388200000000007</v>
      </c>
    </row>
    <row r="48" spans="1:14" ht="15.75" customHeight="1" x14ac:dyDescent="0.2">
      <c r="A48" s="248" t="s">
        <v>194</v>
      </c>
      <c r="B48" s="122" t="str">
        <f>VLOOKUP($A48,NSN!$A:$B,2,FALSE)</f>
        <v>V000337</v>
      </c>
      <c r="C48" s="123" t="str">
        <f>VLOOKUP($A48,CODIGOS!$B:$E,4,FALSE)</f>
        <v>NR (400 g)</v>
      </c>
      <c r="D48" s="124">
        <f t="shared" si="10"/>
        <v>1.2</v>
      </c>
      <c r="E48" s="124">
        <f>IF(VLOOKUP($B48,CODIGOS!$A:$F,6,0)&lt;&gt;1000,(($F48*$I$2)/VLOOKUP($B48,CODIGOS!$A:$F,6,0)),"")</f>
        <v>7.5</v>
      </c>
      <c r="F48" s="504">
        <v>15</v>
      </c>
      <c r="G48" s="135">
        <f>(F48/1000)*VLOOKUP($B48,CODIGOS!$A:$G,7,0)</f>
        <v>1.3469999999999999E-2</v>
      </c>
      <c r="H48" s="24">
        <f>VLOOKUP($A48,CODIGOS!$B:$D,2,FALSE)</f>
        <v>1226</v>
      </c>
      <c r="I48" s="147">
        <f>IF($H48="S/STOCK","",$J48/$I$2)</f>
        <v>45.975000000000001</v>
      </c>
      <c r="J48" s="53">
        <f>IF(H48="S/STOCK","",IF($E48="",$D48*$H48,$E48*$H48))</f>
        <v>9195</v>
      </c>
      <c r="K48" s="131">
        <f>VLOOKUP($B48,CODIGOS!$A:$K,8,0)*$G48*1000</f>
        <v>5.7920999999999996</v>
      </c>
      <c r="L48" s="132">
        <f>VLOOKUP($B48,CODIGOS!$A:$K,9,0)*$G48*1000</f>
        <v>0.10775999999999999</v>
      </c>
      <c r="M48" s="132">
        <f>VLOOKUP($B48,CODIGOS!$A:$K,10,0)*$G48*1000</f>
        <v>2.6939999999999999E-2</v>
      </c>
      <c r="N48" s="133">
        <f>VLOOKUP($B48,CODIGOS!$A:$K,11,0)*$G48*1000</f>
        <v>1.29312</v>
      </c>
    </row>
    <row r="49" spans="1:14" ht="15.75" customHeight="1" x14ac:dyDescent="0.2">
      <c r="A49" s="248" t="s">
        <v>56</v>
      </c>
      <c r="B49" s="122" t="str">
        <f>VLOOKUP($A49,NSN!$A:$B,2,FALSE)</f>
        <v>C000249</v>
      </c>
      <c r="C49" s="123" t="str">
        <f>VLOOKUP($A49,CODIGOS!$B:$E,4,FALSE)</f>
        <v>KG</v>
      </c>
      <c r="D49" s="124">
        <f t="shared" si="10"/>
        <v>1.6</v>
      </c>
      <c r="E49" s="124" t="str">
        <f>IF(VLOOKUP($B49,CODIGOS!$A:$F,6,0)&lt;&gt;1000,(($F49*$I$3)/VLOOKUP($B49,CODIGOS!$A:$F,6,0)),"")</f>
        <v/>
      </c>
      <c r="F49" s="501">
        <v>20</v>
      </c>
      <c r="G49" s="125">
        <f>(F49/1000)*VLOOKUP($B49,CODIGOS!$A:$G,7,0)</f>
        <v>1.7819999999999999E-2</v>
      </c>
      <c r="H49" s="24">
        <f>VLOOKUP($A49,CODIGOS!$B:$D,2,FALSE)</f>
        <v>640</v>
      </c>
      <c r="I49" s="24">
        <f t="shared" si="11"/>
        <v>12.8</v>
      </c>
      <c r="J49" s="24">
        <f t="shared" si="12"/>
        <v>1024</v>
      </c>
      <c r="K49" s="125">
        <f>VLOOKUP($B49,CODIGOS!$A:$K,8,0)*$G49*1000</f>
        <v>7.6625999999999994</v>
      </c>
      <c r="L49" s="125">
        <f>VLOOKUP($B49,CODIGOS!$A:$K,9,0)*$G49*1000</f>
        <v>0.14255999999999999</v>
      </c>
      <c r="M49" s="125">
        <f>VLOOKUP($B49,CODIGOS!$A:$K,10,0)*$G49*1000</f>
        <v>3.5639999999999998E-2</v>
      </c>
      <c r="N49" s="221">
        <f>VLOOKUP($B49,CODIGOS!$A:$K,11,0)*$G49*1000</f>
        <v>1.71072</v>
      </c>
    </row>
    <row r="50" spans="1:14" ht="15.75" customHeight="1" x14ac:dyDescent="0.2">
      <c r="A50" s="248" t="s">
        <v>199</v>
      </c>
      <c r="B50" s="122" t="str">
        <f>VLOOKUP($A50,NSN!$A:$B,2,FALSE)</f>
        <v>V000330</v>
      </c>
      <c r="C50" s="123" t="str">
        <f>VLOOKUP($A50,CODIGOS!$B:$E,4,FALSE)</f>
        <v>KG</v>
      </c>
      <c r="D50" s="124">
        <f t="shared" si="10"/>
        <v>1.6</v>
      </c>
      <c r="E50" s="124" t="str">
        <f>IF(VLOOKUP($B50,CODIGOS!$A:$F,6,0)&lt;&gt;1000,(($F50*$I$3)/VLOOKUP($B50,CODIGOS!$A:$F,6,0)),"")</f>
        <v/>
      </c>
      <c r="F50" s="501">
        <v>20</v>
      </c>
      <c r="G50" s="125">
        <f>(F50/1000)*VLOOKUP($B50,CODIGOS!$A:$G,7,0)</f>
        <v>1.804E-2</v>
      </c>
      <c r="H50" s="24">
        <f>VLOOKUP($A50,CODIGOS!$B:$D,2,FALSE)</f>
        <v>1287</v>
      </c>
      <c r="I50" s="24">
        <f t="shared" si="11"/>
        <v>25.740000000000002</v>
      </c>
      <c r="J50" s="24">
        <f t="shared" ref="J50" si="15">IF(H50="S/STOCK","",IF($E50="",$D50*$H50,$E50*$H50))</f>
        <v>2059.2000000000003</v>
      </c>
      <c r="K50" s="125">
        <f>VLOOKUP($B50,CODIGOS!$A:$K,8,0)*$G50*1000</f>
        <v>15.5144</v>
      </c>
      <c r="L50" s="125">
        <f>VLOOKUP($B50,CODIGOS!$A:$K,9,0)*$G50*1000</f>
        <v>0.16236</v>
      </c>
      <c r="M50" s="125">
        <f>VLOOKUP($B50,CODIGOS!$A:$K,10,0)*$G50*1000</f>
        <v>9.0200000000000016E-2</v>
      </c>
      <c r="N50" s="221">
        <f>VLOOKUP($B50,CODIGOS!$A:$K,11,0)*$G50*1000</f>
        <v>1.4612400000000001</v>
      </c>
    </row>
    <row r="51" spans="1:14" ht="15.75" customHeight="1" x14ac:dyDescent="0.2">
      <c r="A51" s="248" t="s">
        <v>391</v>
      </c>
      <c r="B51" s="122" t="str">
        <f>VLOOKUP($A51,NSN!$A:$B,2,FALSE)</f>
        <v>V000338</v>
      </c>
      <c r="C51" s="123" t="str">
        <f>VLOOKUP($A51,CODIGOS!$B:$E,4,FALSE)</f>
        <v>PQ 500 gr</v>
      </c>
      <c r="D51" s="124">
        <f t="shared" si="10"/>
        <v>1.2</v>
      </c>
      <c r="E51" s="124">
        <f>IF(VLOOKUP($B51,CODIGOS!$A:$F,6,0)&lt;&gt;1000,(($F51*$I$3)/VLOOKUP($B51,CODIGOS!$A:$F,6,0)),"")</f>
        <v>2.4</v>
      </c>
      <c r="F51" s="501">
        <v>15</v>
      </c>
      <c r="G51" s="125">
        <f>(F51/1000)*VLOOKUP($B51,CODIGOS!$A:$G,7,0)</f>
        <v>1.4999999999999999E-2</v>
      </c>
      <c r="H51" s="24">
        <f>VLOOKUP($A51,CODIGOS!$B:$D,2,FALSE)</f>
        <v>790</v>
      </c>
      <c r="I51" s="24">
        <f t="shared" si="11"/>
        <v>23.7</v>
      </c>
      <c r="J51" s="24">
        <f t="shared" si="12"/>
        <v>1896</v>
      </c>
      <c r="K51" s="125">
        <f>VLOOKUP($B51,CODIGOS!$A:$K,8,0)*$G51*1000</f>
        <v>0</v>
      </c>
      <c r="L51" s="125">
        <f>VLOOKUP($B51,CODIGOS!$A:$K,9,0)*$G51*1000</f>
        <v>0</v>
      </c>
      <c r="M51" s="125">
        <f>VLOOKUP($B51,CODIGOS!$A:$K,10,0)*$G51*1000</f>
        <v>0</v>
      </c>
      <c r="N51" s="221">
        <f>VLOOKUP($B51,CODIGOS!$A:$K,11,0)*$G51*1000</f>
        <v>0</v>
      </c>
    </row>
    <row r="52" spans="1:14" ht="15.75" customHeight="1" x14ac:dyDescent="0.2">
      <c r="A52" s="248" t="s">
        <v>615</v>
      </c>
      <c r="B52" s="122" t="str">
        <f>VLOOKUP($A52,NSN!$A:$B,2,FALSE)</f>
        <v>V000333</v>
      </c>
      <c r="C52" s="123" t="str">
        <f>VLOOKUP($A52,CODIGOS!$B:$E,4,FALSE)</f>
        <v>NR (250 g)</v>
      </c>
      <c r="D52" s="124">
        <f t="shared" si="10"/>
        <v>2.4</v>
      </c>
      <c r="E52" s="124">
        <f>IF(VLOOKUP($B52,CODIGOS!$A:$F,6,0)&lt;&gt;1000,(($F52*$I$3)/VLOOKUP($B52,CODIGOS!$A:$F,6,0)),"")</f>
        <v>9.6</v>
      </c>
      <c r="F52" s="501">
        <v>30</v>
      </c>
      <c r="G52" s="125">
        <f>(F52/1000)*VLOOKUP($B52,CODIGOS!$A:$G,7,0)</f>
        <v>2.8439999999999997E-2</v>
      </c>
      <c r="H52" s="24">
        <f>VLOOKUP($A52,CODIGOS!$B:$D,2,FALSE)</f>
        <v>796</v>
      </c>
      <c r="I52" s="24">
        <f t="shared" si="11"/>
        <v>95.52</v>
      </c>
      <c r="J52" s="24">
        <f t="shared" si="12"/>
        <v>7641.5999999999995</v>
      </c>
      <c r="K52" s="125">
        <f>VLOOKUP($B52,CODIGOS!$A:$K,8,0)*$G52*1000</f>
        <v>4.8347999999999995</v>
      </c>
      <c r="L52" s="125">
        <f>VLOOKUP($B52,CODIGOS!$A:$K,9,0)*$G52*1000</f>
        <v>0.36971999999999999</v>
      </c>
      <c r="M52" s="125">
        <f>VLOOKUP($B52,CODIGOS!$A:$K,10,0)*$G52*1000</f>
        <v>8.5319999999999993E-2</v>
      </c>
      <c r="N52" s="221">
        <f>VLOOKUP($B52,CODIGOS!$A:$K,11,0)*$G52*1000</f>
        <v>0.65411999999999992</v>
      </c>
    </row>
    <row r="53" spans="1:14" ht="15.75" customHeight="1" x14ac:dyDescent="0.2">
      <c r="A53" s="248" t="s">
        <v>41</v>
      </c>
      <c r="B53" s="122" t="str">
        <f>VLOOKUP($A53,NSN!$A:$B,2,FALSE)</f>
        <v>V000300</v>
      </c>
      <c r="C53" s="123" t="str">
        <f>VLOOKUP($A53,CODIGOS!$B:$E,4,FALSE)</f>
        <v>BT 500 cc</v>
      </c>
      <c r="D53" s="124">
        <f t="shared" si="10"/>
        <v>0.24</v>
      </c>
      <c r="E53" s="124">
        <f>IF(VLOOKUP($B53,CODIGOS!$A:$F,6,0)&lt;&gt;1000,(($F53*$I$3)/VLOOKUP($B53,CODIGOS!$A:$F,6,0)),"")</f>
        <v>0.48</v>
      </c>
      <c r="F53" s="501">
        <v>3</v>
      </c>
      <c r="G53" s="125">
        <f>(F53/1000)*VLOOKUP($B53,CODIGOS!$A:$G,7,0)</f>
        <v>3.0000000000000001E-3</v>
      </c>
      <c r="H53" s="24">
        <f>VLOOKUP($A53,CODIGOS!$B:$D,2,FALSE)</f>
        <v>3462</v>
      </c>
      <c r="I53" s="24">
        <f t="shared" si="11"/>
        <v>20.771999999999998</v>
      </c>
      <c r="J53" s="24">
        <f>IF(H53="S/STOCK","",IF($E53="",$D53*$H53,$E53*$H53))</f>
        <v>1661.76</v>
      </c>
      <c r="K53" s="125">
        <f>VLOOKUP($B53,CODIGOS!$A:$K,8,0)*$G53*1000</f>
        <v>2.19</v>
      </c>
      <c r="L53" s="125">
        <f>VLOOKUP($B53,CODIGOS!$A:$K,9,0)*$G53*1000</f>
        <v>0</v>
      </c>
      <c r="M53" s="125">
        <f>VLOOKUP($B53,CODIGOS!$A:$K,10,0)*$G53*1000</f>
        <v>0</v>
      </c>
      <c r="N53" s="221">
        <f>VLOOKUP($B53,CODIGOS!$A:$K,11,0)*$G53*1000</f>
        <v>0.54</v>
      </c>
    </row>
    <row r="54" spans="1:14" ht="15.75" customHeight="1" x14ac:dyDescent="0.2">
      <c r="A54" s="248" t="s">
        <v>2028</v>
      </c>
      <c r="B54" s="122" t="str">
        <f>VLOOKUP($A54,NSN!$A:$B,2,FALSE)</f>
        <v>C902636</v>
      </c>
      <c r="C54" s="123" t="str">
        <f>VLOOKUP($A54,CODIGOS!$B:$E,4,FALSE)</f>
        <v>900 ML</v>
      </c>
      <c r="D54" s="124">
        <f t="shared" si="10"/>
        <v>0.4</v>
      </c>
      <c r="E54" s="124">
        <f>IF(VLOOKUP($B54,CODIGOS!$A:$F,6,0)&lt;&gt;1000,(($F54*$I$3)/VLOOKUP($B54,CODIGOS!$A:$F,6,0)),"")</f>
        <v>0.44444444444444442</v>
      </c>
      <c r="F54" s="501">
        <v>5</v>
      </c>
      <c r="G54" s="125">
        <f>(F54/1000)*VLOOKUP($B54,CODIGOS!$A:$G,7,0)</f>
        <v>5.0000000000000001E-3</v>
      </c>
      <c r="H54" s="24">
        <f>VLOOKUP($A54,CODIGOS!$B:$D,2,FALSE)</f>
        <v>1500</v>
      </c>
      <c r="I54" s="24">
        <f t="shared" si="11"/>
        <v>8.3333333333333321</v>
      </c>
      <c r="J54" s="24">
        <f>IF(H54="S/STOCK","",IF($E54="",$D54*$H54,$E54*$H54))</f>
        <v>666.66666666666663</v>
      </c>
      <c r="K54" s="125">
        <f>VLOOKUP($B54,CODIGOS!$A:$K,8,0)*$G54*1000</f>
        <v>44.2</v>
      </c>
      <c r="L54" s="125">
        <f>VLOOKUP($B54,CODIGOS!$A:$K,9,0)*$G54*1000</f>
        <v>0</v>
      </c>
      <c r="M54" s="125">
        <f>VLOOKUP($B54,CODIGOS!$A:$K,10,0)*$G54*1000</f>
        <v>5</v>
      </c>
      <c r="N54" s="221">
        <f>VLOOKUP($B54,CODIGOS!$A:$K,11,0)*$G54*1000</f>
        <v>0</v>
      </c>
    </row>
    <row r="55" spans="1:14" ht="15.75" customHeight="1" x14ac:dyDescent="0.2">
      <c r="A55" s="248" t="s">
        <v>653</v>
      </c>
      <c r="B55" s="122" t="str">
        <f>VLOOKUP($A55,NSN!$A:$B,2,FALSE)</f>
        <v>C000528</v>
      </c>
      <c r="C55" s="123" t="str">
        <f>VLOOKUP($A55,CODIGOS!$B:$E,4,FALSE)</f>
        <v>KG</v>
      </c>
      <c r="D55" s="124">
        <f t="shared" si="10"/>
        <v>0.04</v>
      </c>
      <c r="E55" s="124" t="str">
        <f>IF(VLOOKUP($B55,CODIGOS!$A:$F,6,0)&lt;&gt;1000,(($F55*$I$3)/VLOOKUP($B55,CODIGOS!$A:$F,6,0)),"")</f>
        <v/>
      </c>
      <c r="F55" s="501">
        <v>0.5</v>
      </c>
      <c r="G55" s="125">
        <f>(F55/1000)*VLOOKUP($B55,CODIGOS!$A:$G,7,0)</f>
        <v>5.0000000000000001E-4</v>
      </c>
      <c r="H55" s="24">
        <f>VLOOKUP($A55,CODIGOS!$B:$D,2,FALSE)</f>
        <v>375</v>
      </c>
      <c r="I55" s="24">
        <f t="shared" si="11"/>
        <v>0.1875</v>
      </c>
      <c r="J55" s="24">
        <f t="shared" ref="J55" si="16">IF(H55="S/STOCK","",IF($E55="",$D55*$H55,$E55*$H55))</f>
        <v>15</v>
      </c>
      <c r="K55" s="125">
        <f>VLOOKUP($B55,CODIGOS!$A:$K,8,0)*$G55*1000</f>
        <v>0</v>
      </c>
      <c r="L55" s="125">
        <f>VLOOKUP($B55,CODIGOS!$A:$K,9,0)*$G55*1000</f>
        <v>0</v>
      </c>
      <c r="M55" s="125">
        <f>VLOOKUP($B55,CODIGOS!$A:$K,10,0)*$G55*1000</f>
        <v>0</v>
      </c>
      <c r="N55" s="221">
        <f>VLOOKUP($B55,CODIGOS!$A:$K,11,0)*$G55*1000</f>
        <v>0</v>
      </c>
    </row>
    <row r="56" spans="1:14" ht="15.75" customHeight="1" x14ac:dyDescent="0.2">
      <c r="A56" s="248" t="s">
        <v>11</v>
      </c>
      <c r="B56" s="122" t="str">
        <f>VLOOKUP($A56,NSN!$A:$B,2,FALSE)</f>
        <v>C002832</v>
      </c>
      <c r="C56" s="123" t="str">
        <f>VLOOKUP($A56,CODIGOS!$B:$E,4,FALSE)</f>
        <v>KG</v>
      </c>
      <c r="D56" s="124">
        <f t="shared" si="10"/>
        <v>6.4</v>
      </c>
      <c r="E56" s="124" t="str">
        <f>IF(VLOOKUP($B56,CODIGOS!$A:$F,6,0)&lt;&gt;1000,(($F56*$I$3)/VLOOKUP($B56,CODIGOS!$A:$F,6,0)),"")</f>
        <v/>
      </c>
      <c r="F56" s="501">
        <v>80</v>
      </c>
      <c r="G56" s="125">
        <f>(F56/1000)*VLOOKUP($B56,CODIGOS!$A:$G,7,0)</f>
        <v>0.08</v>
      </c>
      <c r="H56" s="24">
        <f>VLOOKUP($A56,CODIGOS!$B:$D,2,FALSE)</f>
        <v>1384</v>
      </c>
      <c r="I56" s="24">
        <f t="shared" si="11"/>
        <v>110.72</v>
      </c>
      <c r="J56" s="24">
        <f>IF(H56="S/STOCK","",IF($E56="",$D56*$H56,$E56*$H56))</f>
        <v>8857.6</v>
      </c>
      <c r="K56" s="125">
        <f>VLOOKUP($B56,CODIGOS!$A:$K,8,0)*$G56*1000</f>
        <v>281.60000000000002</v>
      </c>
      <c r="L56" s="125">
        <f>VLOOKUP($B56,CODIGOS!$A:$K,9,0)*$G56*1000</f>
        <v>5.12</v>
      </c>
      <c r="M56" s="125">
        <f>VLOOKUP($B56,CODIGOS!$A:$K,10,0)*$G56*1000</f>
        <v>0.64</v>
      </c>
      <c r="N56" s="221">
        <f>VLOOKUP($B56,CODIGOS!$A:$K,11,0)*$G56*1000</f>
        <v>63.760000000000012</v>
      </c>
    </row>
    <row r="57" spans="1:14" ht="15.75" customHeight="1" x14ac:dyDescent="0.2">
      <c r="A57" s="248" t="s">
        <v>2028</v>
      </c>
      <c r="B57" s="122" t="str">
        <f>VLOOKUP($A57,NSN!$A:$B,2,FALSE)</f>
        <v>C902636</v>
      </c>
      <c r="C57" s="123" t="str">
        <f>VLOOKUP($A57,CODIGOS!$B:$E,4,FALSE)</f>
        <v>900 ML</v>
      </c>
      <c r="D57" s="124">
        <f t="shared" si="10"/>
        <v>0.4</v>
      </c>
      <c r="E57" s="124">
        <f>IF(VLOOKUP($B57,CODIGOS!$A:$F,6,0)&lt;&gt;1000,(($F57*$I$3)/VLOOKUP($B57,CODIGOS!$A:$F,6,0)),"")</f>
        <v>0.44444444444444442</v>
      </c>
      <c r="F57" s="501">
        <v>5</v>
      </c>
      <c r="G57" s="125">
        <f>(F57/1000)*VLOOKUP($B57,CODIGOS!$A:$G,7,0)</f>
        <v>5.0000000000000001E-3</v>
      </c>
      <c r="H57" s="24">
        <f>VLOOKUP($A57,CODIGOS!$B:$D,2,FALSE)</f>
        <v>1500</v>
      </c>
      <c r="I57" s="24">
        <f t="shared" si="11"/>
        <v>8.3333333333333321</v>
      </c>
      <c r="J57" s="24">
        <f>IF(H57="S/STOCK","",IF($E57="",$D57*$H57,$E57*$H57))</f>
        <v>666.66666666666663</v>
      </c>
      <c r="K57" s="125">
        <f>VLOOKUP($B57,CODIGOS!$A:$K,8,0)*$G57*1000</f>
        <v>44.2</v>
      </c>
      <c r="L57" s="125">
        <f>VLOOKUP($B57,CODIGOS!$A:$K,9,0)*$G57*1000</f>
        <v>0</v>
      </c>
      <c r="M57" s="125">
        <f>VLOOKUP($B57,CODIGOS!$A:$K,10,0)*$G57*1000</f>
        <v>5</v>
      </c>
      <c r="N57" s="221">
        <f>VLOOKUP($B57,CODIGOS!$A:$K,11,0)*$G57*1000</f>
        <v>0</v>
      </c>
    </row>
    <row r="58" spans="1:14" ht="15.75" customHeight="1" x14ac:dyDescent="0.2">
      <c r="A58" s="248" t="s">
        <v>653</v>
      </c>
      <c r="B58" s="122" t="str">
        <f>VLOOKUP($A58,NSN!$A:$B,2,FALSE)</f>
        <v>C000528</v>
      </c>
      <c r="C58" s="123" t="str">
        <f>VLOOKUP($A58,CODIGOS!$B:$E,4,FALSE)</f>
        <v>KG</v>
      </c>
      <c r="D58" s="124">
        <f t="shared" si="10"/>
        <v>0.04</v>
      </c>
      <c r="E58" s="124" t="str">
        <f>IF(VLOOKUP($B58,CODIGOS!$A:$F,6,0)&lt;&gt;1000,(($F58*$I$3)/VLOOKUP($B58,CODIGOS!$A:$F,6,0)),"")</f>
        <v/>
      </c>
      <c r="F58" s="501">
        <v>0.5</v>
      </c>
      <c r="G58" s="125">
        <f>(F58/1000)*VLOOKUP($B58,CODIGOS!$A:$G,7,0)</f>
        <v>5.0000000000000001E-4</v>
      </c>
      <c r="H58" s="24">
        <f>VLOOKUP($A58,CODIGOS!$B:$D,2,FALSE)</f>
        <v>375</v>
      </c>
      <c r="I58" s="24">
        <f t="shared" si="11"/>
        <v>0.1875</v>
      </c>
      <c r="J58" s="24">
        <f>IF(H58="S/STOCK","",IF($E58="",$D58*$H58,$E58*$H58))</f>
        <v>15</v>
      </c>
      <c r="K58" s="125">
        <f>VLOOKUP($B58,CODIGOS!$A:$K,8,0)*$G58*1000</f>
        <v>0</v>
      </c>
      <c r="L58" s="125">
        <f>VLOOKUP($B58,CODIGOS!$A:$K,9,0)*$G58*1000</f>
        <v>0</v>
      </c>
      <c r="M58" s="125">
        <f>VLOOKUP($B58,CODIGOS!$A:$K,10,0)*$G58*1000</f>
        <v>0</v>
      </c>
      <c r="N58" s="221">
        <f>VLOOKUP($B58,CODIGOS!$A:$K,11,0)*$G58*1000</f>
        <v>0</v>
      </c>
    </row>
    <row r="59" spans="1:14" ht="15.75" customHeight="1" thickBot="1" x14ac:dyDescent="0.25">
      <c r="A59" s="397" t="s">
        <v>316</v>
      </c>
      <c r="B59" s="270" t="str">
        <f>VLOOKUP($A59,NSN!$A:$B,2,FALSE)</f>
        <v>C902849</v>
      </c>
      <c r="C59" s="271" t="str">
        <f>VLOOKUP($A59,CODIGOS!$B:$E,4,FALSE)</f>
        <v>KG</v>
      </c>
      <c r="D59" s="150">
        <f t="shared" si="10"/>
        <v>1.6</v>
      </c>
      <c r="E59" s="272" t="str">
        <f>IF(VLOOKUP($B59,CODIGOS!$A:$F,6,0)&lt;&gt;1000,(($F59*$I$3)/VLOOKUP($B59,CODIGOS!$A:$F,6,0)),"")</f>
        <v/>
      </c>
      <c r="F59" s="517">
        <v>20</v>
      </c>
      <c r="G59" s="273">
        <f>(F59/1000)*VLOOKUP($B59,CODIGOS!$A:$G,7,0)</f>
        <v>0.02</v>
      </c>
      <c r="H59" s="274">
        <f>VLOOKUP($A59,CODIGOS!$B:$D,2,FALSE)</f>
        <v>2655</v>
      </c>
      <c r="I59" s="274">
        <f t="shared" si="11"/>
        <v>53.1</v>
      </c>
      <c r="J59" s="274">
        <f t="shared" si="12"/>
        <v>4248</v>
      </c>
      <c r="K59" s="273">
        <f>VLOOKUP($B59,CODIGOS!$A:$K,8,0)*$G59*1000</f>
        <v>74.800000000000011</v>
      </c>
      <c r="L59" s="273">
        <f>VLOOKUP($B59,CODIGOS!$A:$K,9,0)*$G59*1000</f>
        <v>0.5</v>
      </c>
      <c r="M59" s="273">
        <f>VLOOKUP($B59,CODIGOS!$A:$K,10,0)*$G59*1000</f>
        <v>0.44000000000000006</v>
      </c>
      <c r="N59" s="275">
        <f>VLOOKUP($B59,CODIGOS!$A:$K,11,0)*$G59*1000</f>
        <v>17.2</v>
      </c>
    </row>
    <row r="60" spans="1:14" ht="15.75" customHeight="1" thickBot="1" x14ac:dyDescent="0.25">
      <c r="A60" s="17" t="s">
        <v>627</v>
      </c>
      <c r="B60" s="33"/>
      <c r="C60" s="18"/>
      <c r="D60" s="126"/>
      <c r="E60" s="126"/>
      <c r="F60" s="211"/>
      <c r="G60" s="19"/>
      <c r="H60" s="41"/>
      <c r="I60" s="249">
        <f t="shared" ref="I60:N60" si="17">SUM(I40:I59)</f>
        <v>824.90852380952401</v>
      </c>
      <c r="J60" s="250">
        <f t="shared" si="17"/>
        <v>105555.34476190478</v>
      </c>
      <c r="K60" s="251">
        <f t="shared" si="17"/>
        <v>912.56311500000015</v>
      </c>
      <c r="L60" s="251">
        <f t="shared" si="17"/>
        <v>43.221483500000005</v>
      </c>
      <c r="M60" s="251">
        <f t="shared" si="17"/>
        <v>19.603621000000004</v>
      </c>
      <c r="N60" s="252">
        <f t="shared" si="17"/>
        <v>138.9940355</v>
      </c>
    </row>
    <row r="61" spans="1:14" ht="15.75" customHeight="1" thickBot="1" x14ac:dyDescent="0.25">
      <c r="A61" s="17" t="s">
        <v>627</v>
      </c>
      <c r="B61" s="17"/>
      <c r="C61" s="18"/>
      <c r="D61" s="19"/>
      <c r="E61" s="19"/>
      <c r="F61" s="213"/>
      <c r="G61" s="19"/>
      <c r="H61" s="26"/>
      <c r="I61" s="42"/>
      <c r="J61" s="42" t="s">
        <v>892</v>
      </c>
      <c r="K61" s="232">
        <f>K21+K38+K60</f>
        <v>2383.013715</v>
      </c>
      <c r="L61" s="233">
        <f>L21+L38+L60</f>
        <v>102.0469635</v>
      </c>
      <c r="M61" s="233">
        <f>M21+M38+M60</f>
        <v>62.661781000000005</v>
      </c>
      <c r="N61" s="234">
        <f>N21+N38+N60</f>
        <v>353.02491550000002</v>
      </c>
    </row>
    <row r="62" spans="1:14" ht="15.75" customHeight="1" thickBot="1" x14ac:dyDescent="0.25">
      <c r="A62" s="17" t="s">
        <v>627</v>
      </c>
      <c r="B62" s="17"/>
      <c r="C62" s="17"/>
      <c r="D62" s="19"/>
      <c r="E62" s="19"/>
      <c r="F62" s="213"/>
      <c r="G62" s="19"/>
      <c r="H62" s="19"/>
      <c r="I62" s="19"/>
      <c r="J62" s="22"/>
      <c r="K62" s="22"/>
      <c r="L62" s="17"/>
      <c r="M62" s="17"/>
      <c r="N62" s="17"/>
    </row>
    <row r="63" spans="1:14" ht="15.75" customHeight="1" thickBot="1" x14ac:dyDescent="0.25">
      <c r="A63" s="99" t="s">
        <v>17</v>
      </c>
      <c r="B63" s="100" t="s">
        <v>94</v>
      </c>
      <c r="C63" s="101" t="s">
        <v>18</v>
      </c>
      <c r="D63" s="101" t="s">
        <v>103</v>
      </c>
      <c r="E63" s="101"/>
      <c r="F63" s="214" t="s">
        <v>891</v>
      </c>
      <c r="G63" s="101" t="s">
        <v>91</v>
      </c>
      <c r="H63" s="101" t="s">
        <v>19</v>
      </c>
      <c r="I63" s="101" t="s">
        <v>45</v>
      </c>
      <c r="J63" s="102" t="s">
        <v>20</v>
      </c>
      <c r="K63" s="102" t="s">
        <v>43</v>
      </c>
      <c r="L63" s="103" t="s">
        <v>44</v>
      </c>
      <c r="M63" s="104" t="s">
        <v>207</v>
      </c>
      <c r="N63" s="105" t="s">
        <v>208</v>
      </c>
    </row>
    <row r="64" spans="1:14" ht="15.75" customHeight="1" thickBot="1" x14ac:dyDescent="0.25">
      <c r="A64" s="106" t="s">
        <v>216</v>
      </c>
      <c r="B64" s="107"/>
      <c r="C64" s="107"/>
      <c r="D64" s="107"/>
      <c r="E64" s="107"/>
      <c r="F64" s="212"/>
      <c r="G64" s="107"/>
      <c r="H64" s="107"/>
      <c r="I64" s="107"/>
      <c r="J64" s="107"/>
      <c r="K64" s="107"/>
      <c r="L64" s="107"/>
      <c r="M64" s="107"/>
      <c r="N64" s="108"/>
    </row>
    <row r="65" spans="1:14" ht="15.75" customHeight="1" x14ac:dyDescent="0.2">
      <c r="A65" s="248" t="s">
        <v>410</v>
      </c>
      <c r="B65" s="141" t="str">
        <f>VLOOKUP($A65,NSN!$A:$B,2,FALSE)</f>
        <v>C000367</v>
      </c>
      <c r="C65" s="142" t="str">
        <f>VLOOKUP($A65,CODIGOS!$B:$E,4,FALSE)</f>
        <v>KG</v>
      </c>
      <c r="D65" s="143">
        <f>($F65*$I$3)/1000</f>
        <v>11.428800000000001</v>
      </c>
      <c r="E65" s="143" t="str">
        <f>IF(VLOOKUP($B65,CODIGOS!$A:$F,6,0)&lt;&gt;1000,(($F65*$I$3)/VLOOKUP($B65,CODIGOS!$A:$F,6,0)),"")</f>
        <v/>
      </c>
      <c r="F65" s="215">
        <v>142.86000000000001</v>
      </c>
      <c r="G65" s="144">
        <f>(F65/1000)*VLOOKUP($B65,CODIGOS!$A:$G,7,0)</f>
        <v>0.14286000000000001</v>
      </c>
      <c r="H65" s="25">
        <f>VLOOKUP($A65,CODIGOS!$B:$D,2,FALSE)</f>
        <v>794</v>
      </c>
      <c r="I65" s="25">
        <f>IF($H65="S/STOCK","",$J65/$I$3)</f>
        <v>113.43084000000002</v>
      </c>
      <c r="J65" s="25">
        <f>IF(H65="S/STOCK","",IF($E65="",$D65*$H65,$E65*$H65))</f>
        <v>9074.467200000001</v>
      </c>
      <c r="K65" s="144">
        <f>VLOOKUP($B65,CODIGOS!$A:$K,8,0)*$G65*1000</f>
        <v>497.15280000000007</v>
      </c>
      <c r="L65" s="144">
        <f>VLOOKUP($B65,CODIGOS!$A:$K,9,0)*$G65*1000</f>
        <v>11.428800000000001</v>
      </c>
      <c r="M65" s="144">
        <f>VLOOKUP($B65,CODIGOS!$A:$K,10,0)*$G65*1000</f>
        <v>1.7143200000000003</v>
      </c>
      <c r="N65" s="220">
        <f>VLOOKUP($B65,CODIGOS!$A:$K,11,0)*$G65*1000</f>
        <v>109.14504000000001</v>
      </c>
    </row>
    <row r="66" spans="1:14" ht="15.75" customHeight="1" x14ac:dyDescent="0.2">
      <c r="A66" s="248" t="s">
        <v>394</v>
      </c>
      <c r="B66" s="122" t="str">
        <f>VLOOKUP($A66,NSN!$A:$B,2,FALSE)</f>
        <v>C000816</v>
      </c>
      <c r="C66" s="123" t="str">
        <f>VLOOKUP($A66,CODIGOS!$B:$E,4,FALSE)</f>
        <v>KG</v>
      </c>
      <c r="D66" s="124">
        <f>($F66*$I$3)/1000</f>
        <v>0.11439999999999999</v>
      </c>
      <c r="E66" s="124" t="str">
        <f>IF(VLOOKUP($B66,CODIGOS!$A:$F,6,0)&lt;&gt;1000,(($F66*$I$3)/VLOOKUP($B66,CODIGOS!$A:$F,6,0)),"")</f>
        <v/>
      </c>
      <c r="F66" s="216">
        <v>1.43</v>
      </c>
      <c r="G66" s="125">
        <f>(F66/1000)*VLOOKUP($B66,CODIGOS!$A:$G,7,0)</f>
        <v>1.4299999999999998E-3</v>
      </c>
      <c r="H66" s="24">
        <f>VLOOKUP($A66,CODIGOS!$B:$D,2,FALSE)</f>
        <v>1128</v>
      </c>
      <c r="I66" s="24">
        <f>IF($H66="S/STOCK","",$J66/$I$3)</f>
        <v>1.6130399999999998</v>
      </c>
      <c r="J66" s="24">
        <f>IF(H66="S/STOCK","",IF($E66="",$D66*$H66,$E66*$H66))</f>
        <v>129.04319999999998</v>
      </c>
      <c r="K66" s="125">
        <f>VLOOKUP($B66,CODIGOS!$A:$K,8,0)*$G66*1000</f>
        <v>5.6913999999999989</v>
      </c>
      <c r="L66" s="125">
        <f>VLOOKUP($B66,CODIGOS!$A:$K,9,0)*$G66*1000</f>
        <v>0</v>
      </c>
      <c r="M66" s="125">
        <f>VLOOKUP($B66,CODIGOS!$A:$K,10,0)*$G66*1000</f>
        <v>0</v>
      </c>
      <c r="N66" s="221">
        <f>VLOOKUP($B66,CODIGOS!$A:$K,11,0)*$G66*1000</f>
        <v>1.4228499999999997</v>
      </c>
    </row>
    <row r="67" spans="1:14" ht="15.75" customHeight="1" x14ac:dyDescent="0.2">
      <c r="A67" s="248" t="s">
        <v>563</v>
      </c>
      <c r="B67" s="122" t="str">
        <f>VLOOKUP($A67,NSN!$A:$B,2,FALSE)</f>
        <v>V000518</v>
      </c>
      <c r="C67" s="123" t="str">
        <f>VLOOKUP($A67,CODIGOS!$B:$E,4,FALSE)</f>
        <v>EA</v>
      </c>
      <c r="D67" s="124">
        <f>($F67*$I$3)/1000</f>
        <v>0.68559999999999999</v>
      </c>
      <c r="E67" s="124" t="str">
        <f>IF(VLOOKUP($B67,CODIGOS!$A:$F,6,0)&lt;&gt;1000,(($F67*$I$3)/VLOOKUP($B67,CODIGOS!$A:$F,6,0)),"")</f>
        <v/>
      </c>
      <c r="F67" s="216">
        <v>8.57</v>
      </c>
      <c r="G67" s="125">
        <f>(F67/1000)*VLOOKUP($B67,CODIGOS!$A:$G,7,0)</f>
        <v>8.5699999999999995E-3</v>
      </c>
      <c r="H67" s="24">
        <f>VLOOKUP($A67,CODIGOS!$B:$D,2,FALSE)</f>
        <v>3203</v>
      </c>
      <c r="I67" s="24">
        <f>IF($H67="S/STOCK","",$J67/$I$3)</f>
        <v>27.44971</v>
      </c>
      <c r="J67" s="24">
        <f>IF(H67="S/STOCK","",IF($E67="",$D67*$H67,$E67*$H67))</f>
        <v>2195.9767999999999</v>
      </c>
      <c r="K67" s="125">
        <f>VLOOKUP($B67,CODIGOS!$A:$K,8,0)*$G67*1000</f>
        <v>76.872899999999987</v>
      </c>
      <c r="L67" s="125">
        <f>VLOOKUP($B67,CODIGOS!$A:$K,9,0)*$G67*1000</f>
        <v>0</v>
      </c>
      <c r="M67" s="125">
        <f>VLOOKUP($B67,CODIGOS!$A:$K,10,0)*$G67*1000</f>
        <v>8.5442900000000002</v>
      </c>
      <c r="N67" s="221">
        <f>VLOOKUP($B67,CODIGOS!$A:$K,11,0)*$G67*1000</f>
        <v>0</v>
      </c>
    </row>
    <row r="68" spans="1:14" ht="15.75" customHeight="1" x14ac:dyDescent="0.2">
      <c r="A68" s="248" t="s">
        <v>266</v>
      </c>
      <c r="B68" s="122" t="str">
        <f>VLOOKUP($A68,NSN!$A:$B,2,FALSE)</f>
        <v>V000174</v>
      </c>
      <c r="C68" s="123" t="str">
        <f>VLOOKUP($A68,CODIGOS!$B:$E,4,FALSE)</f>
        <v>KG</v>
      </c>
      <c r="D68" s="124">
        <f>($F68*$I$3)/1000</f>
        <v>0.11439999999999999</v>
      </c>
      <c r="E68" s="124" t="str">
        <f>IF(VLOOKUP($B68,CODIGOS!$A:$F,6,0)&lt;&gt;1000,(($F68*$I$3)/VLOOKUP($B68,CODIGOS!$A:$F,6,0)),"")</f>
        <v/>
      </c>
      <c r="F68" s="216">
        <v>1.43</v>
      </c>
      <c r="G68" s="125">
        <f>(F68/1000)*VLOOKUP($B68,CODIGOS!$A:$G,7,0)</f>
        <v>1.4299999999999998E-3</v>
      </c>
      <c r="H68" s="24">
        <f>VLOOKUP($A68,CODIGOS!$B:$D,2,FALSE)</f>
        <v>8887</v>
      </c>
      <c r="I68" s="24">
        <f>IF($H68="S/STOCK","",$J68/$I$3)</f>
        <v>12.708409999999999</v>
      </c>
      <c r="J68" s="24">
        <f>IF(H68="S/STOCK","",IF($E68="",$D68*$H68,$E68*$H68))</f>
        <v>1016.6727999999999</v>
      </c>
      <c r="K68" s="125">
        <f>VLOOKUP($B68,CODIGOS!$A:$K,8,0)*$G68*1000</f>
        <v>6.1489999999999991</v>
      </c>
      <c r="L68" s="125">
        <f>VLOOKUP($B68,CODIGOS!$A:$K,9,0)*$G68*1000</f>
        <v>0.67209999999999992</v>
      </c>
      <c r="M68" s="125">
        <f>VLOOKUP($B68,CODIGOS!$A:$K,10,0)*$G68*1000</f>
        <v>0.10009999999999999</v>
      </c>
      <c r="N68" s="221">
        <f>VLOOKUP($B68,CODIGOS!$A:$K,11,0)*$G68*1000</f>
        <v>0.51479999999999992</v>
      </c>
    </row>
    <row r="69" spans="1:14" ht="15.75" customHeight="1" thickBot="1" x14ac:dyDescent="0.25">
      <c r="A69" s="248" t="s">
        <v>653</v>
      </c>
      <c r="B69" s="148" t="str">
        <f>VLOOKUP($A69,NSN!$A:$B,2,FALSE)</f>
        <v>C000528</v>
      </c>
      <c r="C69" s="149" t="str">
        <f>VLOOKUP($A69,CODIGOS!$B:$E,4,FALSE)</f>
        <v>KG</v>
      </c>
      <c r="D69" s="150">
        <f>($F69*$I$3)/1000</f>
        <v>0.16</v>
      </c>
      <c r="E69" s="150" t="str">
        <f>IF(VLOOKUP($B69,CODIGOS!$A:$F,6,0)&lt;&gt;1000,(($F69*$I$3)/VLOOKUP($B69,CODIGOS!$A:$F,6,0)),"")</f>
        <v/>
      </c>
      <c r="F69" s="217">
        <v>2</v>
      </c>
      <c r="G69" s="137">
        <f>(F69/1000)*VLOOKUP($B69,CODIGOS!$A:$G,7,0)</f>
        <v>2E-3</v>
      </c>
      <c r="H69" s="222">
        <f>VLOOKUP($A69,CODIGOS!$B:$D,2,FALSE)</f>
        <v>375</v>
      </c>
      <c r="I69" s="222">
        <f>IF($H69="S/STOCK","",$J69/$I$3)</f>
        <v>0.75</v>
      </c>
      <c r="J69" s="222">
        <f>IF(H69="S/STOCK","",IF($E69="",$D69*$H69,$E69*$H69))</f>
        <v>60</v>
      </c>
      <c r="K69" s="137">
        <f>VLOOKUP($B69,CODIGOS!$A:$K,8,0)*$G69*1000</f>
        <v>0</v>
      </c>
      <c r="L69" s="137">
        <f>VLOOKUP($B69,CODIGOS!$A:$K,9,0)*$G69*1000</f>
        <v>0</v>
      </c>
      <c r="M69" s="137">
        <f>VLOOKUP($B69,CODIGOS!$A:$K,10,0)*$G69*1000</f>
        <v>0</v>
      </c>
      <c r="N69" s="223">
        <f>VLOOKUP($B69,CODIGOS!$A:$K,11,0)*$G69*1000</f>
        <v>0</v>
      </c>
    </row>
    <row r="70" spans="1:14" ht="15.75" customHeight="1" thickBot="1" x14ac:dyDescent="0.25">
      <c r="A70" s="17" t="s">
        <v>627</v>
      </c>
      <c r="B70" s="33"/>
      <c r="C70" s="18"/>
      <c r="D70" s="126"/>
      <c r="E70" s="126"/>
      <c r="F70" s="211"/>
      <c r="G70" s="19"/>
      <c r="H70" s="41"/>
      <c r="I70" s="224">
        <f t="shared" ref="I70:N70" si="18">SUM(I65:I69)</f>
        <v>155.952</v>
      </c>
      <c r="J70" s="225">
        <f t="shared" si="18"/>
        <v>12476.160000000002</v>
      </c>
      <c r="K70" s="226">
        <f t="shared" si="18"/>
        <v>585.86610000000007</v>
      </c>
      <c r="L70" s="226">
        <f t="shared" si="18"/>
        <v>12.100900000000001</v>
      </c>
      <c r="M70" s="226">
        <f t="shared" si="18"/>
        <v>10.35871</v>
      </c>
      <c r="N70" s="227">
        <f t="shared" si="18"/>
        <v>111.08269</v>
      </c>
    </row>
    <row r="71" spans="1:14" ht="15.75" customHeight="1" x14ac:dyDescent="0.2">
      <c r="A71" s="37" t="s">
        <v>627</v>
      </c>
      <c r="B71" s="33"/>
      <c r="C71" s="18"/>
      <c r="D71" s="19"/>
      <c r="E71" s="19"/>
      <c r="F71" s="213"/>
      <c r="G71" s="19"/>
      <c r="H71" s="41"/>
      <c r="K71" s="39"/>
      <c r="L71" s="17"/>
      <c r="M71" s="17"/>
      <c r="N71" s="17"/>
    </row>
    <row r="72" spans="1:14" ht="15.75" customHeight="1" x14ac:dyDescent="0.2">
      <c r="K72" s="39"/>
      <c r="L72" s="17"/>
      <c r="M72" s="17"/>
      <c r="N72" s="17"/>
    </row>
    <row r="73" spans="1:14" ht="15.75" customHeight="1" x14ac:dyDescent="0.2">
      <c r="K73" s="39"/>
      <c r="L73" s="17"/>
      <c r="M73" s="17"/>
      <c r="N73" s="17"/>
    </row>
    <row r="74" spans="1:14" ht="15.75" customHeight="1" x14ac:dyDescent="0.2">
      <c r="K74" s="39"/>
      <c r="L74" s="17"/>
      <c r="M74" s="17"/>
      <c r="N74" s="17"/>
    </row>
    <row r="75" spans="1:14" ht="15.75" customHeight="1" x14ac:dyDescent="0.2">
      <c r="K75" s="39"/>
      <c r="L75" s="17"/>
      <c r="M75" s="17"/>
      <c r="N75" s="17"/>
    </row>
    <row r="76" spans="1:14" ht="15.75" customHeight="1" x14ac:dyDescent="0.2">
      <c r="D76" s="187"/>
      <c r="E76" s="187"/>
      <c r="F76" s="187"/>
      <c r="K76" s="39"/>
      <c r="L76" s="17"/>
      <c r="M76" s="17"/>
      <c r="N76" s="17"/>
    </row>
    <row r="77" spans="1:14" ht="15.75" customHeight="1" x14ac:dyDescent="0.2">
      <c r="D77" s="187"/>
      <c r="E77" s="187"/>
      <c r="F77" s="187"/>
      <c r="K77" s="39"/>
      <c r="L77" s="17"/>
      <c r="M77" s="17"/>
      <c r="N77" s="17"/>
    </row>
    <row r="78" spans="1:14" ht="15.75" customHeight="1" x14ac:dyDescent="0.2">
      <c r="K78" s="39"/>
      <c r="L78" s="17"/>
      <c r="M78" s="17"/>
      <c r="N78" s="17"/>
    </row>
    <row r="79" spans="1:14" ht="15.75" customHeight="1" x14ac:dyDescent="0.2">
      <c r="K79" s="39"/>
      <c r="L79" s="17"/>
      <c r="M79" s="17"/>
      <c r="N79" s="17"/>
    </row>
    <row r="80" spans="1:14" ht="15.75" customHeight="1" x14ac:dyDescent="0.2">
      <c r="K80" s="39"/>
      <c r="L80" s="17"/>
      <c r="M80" s="17"/>
      <c r="N80" s="17"/>
    </row>
    <row r="81" spans="4:14" ht="15.75" customHeight="1" x14ac:dyDescent="0.2">
      <c r="K81" s="39"/>
      <c r="L81" s="17"/>
      <c r="M81" s="17"/>
      <c r="N81" s="17"/>
    </row>
    <row r="82" spans="4:14" ht="15.75" customHeight="1" x14ac:dyDescent="0.2">
      <c r="K82" s="39"/>
      <c r="L82" s="17"/>
      <c r="M82" s="17"/>
      <c r="N82" s="17"/>
    </row>
    <row r="83" spans="4:14" ht="15.75" customHeight="1" x14ac:dyDescent="0.2">
      <c r="K83" s="39"/>
      <c r="L83" s="17"/>
      <c r="M83" s="17"/>
      <c r="N83" s="17"/>
    </row>
    <row r="84" spans="4:14" ht="15.75" customHeight="1" x14ac:dyDescent="0.2">
      <c r="K84" s="39"/>
      <c r="L84" s="17"/>
      <c r="M84" s="17"/>
      <c r="N84" s="17"/>
    </row>
    <row r="85" spans="4:14" ht="15.75" customHeight="1" x14ac:dyDescent="0.2">
      <c r="K85" s="39"/>
      <c r="L85" s="17"/>
      <c r="M85" s="17"/>
      <c r="N85" s="17"/>
    </row>
    <row r="86" spans="4:14" ht="15.75" customHeight="1" x14ac:dyDescent="0.2">
      <c r="K86" s="39"/>
      <c r="L86" s="17"/>
      <c r="M86" s="17"/>
      <c r="N86" s="17"/>
    </row>
    <row r="87" spans="4:14" ht="15.75" customHeight="1" x14ac:dyDescent="0.2">
      <c r="K87" s="39"/>
      <c r="L87" s="17"/>
      <c r="M87" s="17"/>
      <c r="N87" s="17"/>
    </row>
    <row r="88" spans="4:14" ht="15.75" customHeight="1" x14ac:dyDescent="0.2">
      <c r="K88" s="39"/>
      <c r="L88" s="17"/>
      <c r="M88" s="17"/>
      <c r="N88" s="17"/>
    </row>
    <row r="89" spans="4:14" ht="15.75" customHeight="1" x14ac:dyDescent="0.2">
      <c r="D89" s="37"/>
      <c r="E89" s="37"/>
      <c r="F89" s="37"/>
      <c r="G89" s="37"/>
      <c r="H89" s="37"/>
      <c r="I89" s="37"/>
      <c r="J89" s="37"/>
      <c r="K89" s="39"/>
      <c r="L89" s="17"/>
      <c r="M89" s="17"/>
      <c r="N89" s="17"/>
    </row>
    <row r="90" spans="4:14" ht="15.75" customHeight="1" x14ac:dyDescent="0.2">
      <c r="D90" s="37"/>
      <c r="E90" s="37"/>
      <c r="F90" s="37"/>
      <c r="G90" s="37"/>
      <c r="H90" s="37"/>
      <c r="I90" s="37"/>
      <c r="J90" s="37"/>
      <c r="K90" s="39"/>
      <c r="L90" s="17"/>
      <c r="M90" s="17"/>
      <c r="N90" s="17"/>
    </row>
    <row r="91" spans="4:14" ht="15.75" customHeight="1" x14ac:dyDescent="0.2">
      <c r="D91" s="37"/>
      <c r="E91" s="37"/>
      <c r="F91" s="37"/>
      <c r="G91" s="37"/>
      <c r="H91" s="37"/>
      <c r="I91" s="37"/>
      <c r="J91" s="37"/>
      <c r="K91" s="39"/>
      <c r="L91" s="17"/>
      <c r="M91" s="17"/>
      <c r="N91" s="17"/>
    </row>
    <row r="92" spans="4:14" ht="15.75" customHeight="1" x14ac:dyDescent="0.2">
      <c r="D92" s="37"/>
      <c r="E92" s="37"/>
      <c r="F92" s="37"/>
      <c r="G92" s="37"/>
      <c r="H92" s="37"/>
      <c r="I92" s="37"/>
      <c r="J92" s="37"/>
      <c r="K92" s="39"/>
      <c r="L92" s="17"/>
      <c r="M92" s="17"/>
      <c r="N92" s="17"/>
    </row>
    <row r="93" spans="4:14" ht="15.75" customHeight="1" x14ac:dyDescent="0.2">
      <c r="D93" s="37"/>
      <c r="E93" s="37"/>
      <c r="F93" s="37"/>
      <c r="G93" s="37"/>
      <c r="H93" s="37"/>
      <c r="I93" s="37"/>
      <c r="J93" s="37"/>
      <c r="K93" s="39"/>
      <c r="L93" s="17"/>
      <c r="M93" s="17"/>
      <c r="N93" s="17"/>
    </row>
  </sheetData>
  <mergeCells count="4">
    <mergeCell ref="Q10:T10"/>
    <mergeCell ref="G2:H2"/>
    <mergeCell ref="G3:H3"/>
    <mergeCell ref="A1:N1"/>
  </mergeCells>
  <phoneticPr fontId="3" type="noConversion"/>
  <conditionalFormatting sqref="A40:A59 A12:A20 A23:A37">
    <cfRule type="expression" dxfId="442" priority="283" stopIfTrue="1">
      <formula>$H12="S/STOCK"</formula>
    </cfRule>
  </conditionalFormatting>
  <conditionalFormatting sqref="A65:A69">
    <cfRule type="expression" dxfId="441" priority="280" stopIfTrue="1">
      <formula>$H65="S/STOCK"</formula>
    </cfRule>
  </conditionalFormatting>
  <conditionalFormatting sqref="A53">
    <cfRule type="expression" dxfId="440" priority="261" stopIfTrue="1">
      <formula>$H53="S/STOCK"</formula>
    </cfRule>
  </conditionalFormatting>
  <conditionalFormatting sqref="A53">
    <cfRule type="expression" dxfId="439" priority="260" stopIfTrue="1">
      <formula>$H53="S/STOCK"</formula>
    </cfRule>
  </conditionalFormatting>
  <conditionalFormatting sqref="A53">
    <cfRule type="expression" dxfId="438" priority="259" stopIfTrue="1">
      <formula>$H53="S/STOCK"</formula>
    </cfRule>
  </conditionalFormatting>
  <conditionalFormatting sqref="A53">
    <cfRule type="expression" dxfId="437" priority="258" stopIfTrue="1">
      <formula>$H53="S/STOCK"</formula>
    </cfRule>
  </conditionalFormatting>
  <conditionalFormatting sqref="A53">
    <cfRule type="expression" dxfId="436" priority="235" stopIfTrue="1">
      <formula>$H53="S/STOCK"</formula>
    </cfRule>
  </conditionalFormatting>
  <conditionalFormatting sqref="A53">
    <cfRule type="expression" dxfId="435" priority="234" stopIfTrue="1">
      <formula>$H53="S/STOCK"</formula>
    </cfRule>
  </conditionalFormatting>
  <conditionalFormatting sqref="A53">
    <cfRule type="expression" dxfId="434" priority="233" stopIfTrue="1">
      <formula>$H53="S/STOCK"</formula>
    </cfRule>
  </conditionalFormatting>
  <conditionalFormatting sqref="A53">
    <cfRule type="expression" dxfId="433" priority="232" stopIfTrue="1">
      <formula>$H53="S/STOCK"</formula>
    </cfRule>
  </conditionalFormatting>
  <conditionalFormatting sqref="A53">
    <cfRule type="expression" dxfId="432" priority="231" stopIfTrue="1">
      <formula>$H53="S/STOCK"</formula>
    </cfRule>
  </conditionalFormatting>
  <conditionalFormatting sqref="A53">
    <cfRule type="expression" dxfId="431" priority="230" stopIfTrue="1">
      <formula>$H53="S/STOCK"</formula>
    </cfRule>
  </conditionalFormatting>
  <conditionalFormatting sqref="A53">
    <cfRule type="expression" dxfId="430" priority="229" stopIfTrue="1">
      <formula>$H53="S/STOCK"</formula>
    </cfRule>
  </conditionalFormatting>
  <conditionalFormatting sqref="A53">
    <cfRule type="expression" dxfId="429" priority="228" stopIfTrue="1">
      <formula>$H53="S/STOCK"</formula>
    </cfRule>
  </conditionalFormatting>
  <conditionalFormatting sqref="A53">
    <cfRule type="expression" dxfId="428" priority="227" stopIfTrue="1">
      <formula>$H53="S/STOCK"</formula>
    </cfRule>
  </conditionalFormatting>
  <conditionalFormatting sqref="A53">
    <cfRule type="expression" dxfId="427" priority="218" stopIfTrue="1">
      <formula>$H53="S/STOCK"</formula>
    </cfRule>
  </conditionalFormatting>
  <conditionalFormatting sqref="A53">
    <cfRule type="expression" dxfId="426" priority="217" stopIfTrue="1">
      <formula>$H53="S/STOCK"</formula>
    </cfRule>
  </conditionalFormatting>
  <conditionalFormatting sqref="A53">
    <cfRule type="expression" dxfId="425" priority="216" stopIfTrue="1">
      <formula>$H53="S/STOCK"</formula>
    </cfRule>
  </conditionalFormatting>
  <conditionalFormatting sqref="A53">
    <cfRule type="expression" dxfId="424" priority="215" stopIfTrue="1">
      <formula>$H53="S/STOCK"</formula>
    </cfRule>
  </conditionalFormatting>
  <conditionalFormatting sqref="A53">
    <cfRule type="expression" dxfId="423" priority="214" stopIfTrue="1">
      <formula>$H53="S/STOCK"</formula>
    </cfRule>
  </conditionalFormatting>
  <conditionalFormatting sqref="A53">
    <cfRule type="expression" dxfId="422" priority="213" stopIfTrue="1">
      <formula>$H53="S/STOCK"</formula>
    </cfRule>
  </conditionalFormatting>
  <conditionalFormatting sqref="A53">
    <cfRule type="expression" dxfId="421" priority="212" stopIfTrue="1">
      <formula>$H53="S/STOCK"</formula>
    </cfRule>
  </conditionalFormatting>
  <conditionalFormatting sqref="A53">
    <cfRule type="expression" dxfId="420" priority="211" stopIfTrue="1">
      <formula>$H53="S/STOCK"</formula>
    </cfRule>
  </conditionalFormatting>
  <conditionalFormatting sqref="A27">
    <cfRule type="expression" dxfId="419" priority="199" stopIfTrue="1">
      <formula>$H27="S/STOCK"</formula>
    </cfRule>
  </conditionalFormatting>
  <conditionalFormatting sqref="A58">
    <cfRule type="expression" dxfId="418" priority="80" stopIfTrue="1">
      <formula>$H58="S/STOCK"</formula>
    </cfRule>
  </conditionalFormatting>
  <conditionalFormatting sqref="A58">
    <cfRule type="expression" dxfId="417" priority="79" stopIfTrue="1">
      <formula>$H58="S/STOCK"</formula>
    </cfRule>
  </conditionalFormatting>
  <conditionalFormatting sqref="A58">
    <cfRule type="expression" dxfId="416" priority="78" stopIfTrue="1">
      <formula>$H58="S/STOCK"</formula>
    </cfRule>
  </conditionalFormatting>
  <conditionalFormatting sqref="A58">
    <cfRule type="expression" dxfId="415" priority="77" stopIfTrue="1">
      <formula>$H58="S/STOCK"</formula>
    </cfRule>
  </conditionalFormatting>
  <conditionalFormatting sqref="A58">
    <cfRule type="expression" dxfId="414" priority="76" stopIfTrue="1">
      <formula>$H58="S/STOCK"</formula>
    </cfRule>
  </conditionalFormatting>
  <conditionalFormatting sqref="A58">
    <cfRule type="expression" dxfId="413" priority="75" stopIfTrue="1">
      <formula>$H58="S/STOCK"</formula>
    </cfRule>
  </conditionalFormatting>
  <conditionalFormatting sqref="A58">
    <cfRule type="expression" dxfId="412" priority="74" stopIfTrue="1">
      <formula>$H58="S/STOCK"</formula>
    </cfRule>
  </conditionalFormatting>
  <conditionalFormatting sqref="A58">
    <cfRule type="expression" dxfId="411" priority="73" stopIfTrue="1">
      <formula>$H58="S/STOCK"</formula>
    </cfRule>
  </conditionalFormatting>
  <conditionalFormatting sqref="A58">
    <cfRule type="expression" dxfId="410" priority="72" stopIfTrue="1">
      <formula>$H58="S/STOCK"</formula>
    </cfRule>
  </conditionalFormatting>
  <conditionalFormatting sqref="A58">
    <cfRule type="expression" dxfId="409" priority="71" stopIfTrue="1">
      <formula>$H58="S/STOCK"</formula>
    </cfRule>
  </conditionalFormatting>
  <conditionalFormatting sqref="A58">
    <cfRule type="expression" dxfId="408" priority="70" stopIfTrue="1">
      <formula>$H58="S/STOCK"</formula>
    </cfRule>
  </conditionalFormatting>
  <conditionalFormatting sqref="A58">
    <cfRule type="expression" dxfId="407" priority="69" stopIfTrue="1">
      <formula>$H58="S/STOCK"</formula>
    </cfRule>
  </conditionalFormatting>
  <conditionalFormatting sqref="A58">
    <cfRule type="expression" dxfId="406" priority="68" stopIfTrue="1">
      <formula>$H58="S/STOCK"</formula>
    </cfRule>
  </conditionalFormatting>
  <conditionalFormatting sqref="A58">
    <cfRule type="expression" dxfId="405" priority="67" stopIfTrue="1">
      <formula>$H58="S/STOCK"</formula>
    </cfRule>
  </conditionalFormatting>
  <conditionalFormatting sqref="A58">
    <cfRule type="expression" dxfId="404" priority="66" stopIfTrue="1">
      <formula>$H58="S/STOCK"</formula>
    </cfRule>
  </conditionalFormatting>
  <conditionalFormatting sqref="A58">
    <cfRule type="expression" dxfId="403" priority="65" stopIfTrue="1">
      <formula>$H58="S/STOCK"</formula>
    </cfRule>
  </conditionalFormatting>
  <conditionalFormatting sqref="A58">
    <cfRule type="expression" dxfId="402" priority="64" stopIfTrue="1">
      <formula>$H58="S/STOCK"</formula>
    </cfRule>
  </conditionalFormatting>
  <conditionalFormatting sqref="A58">
    <cfRule type="expression" dxfId="401" priority="63" stopIfTrue="1">
      <formula>$H58="S/STOCK"</formula>
    </cfRule>
  </conditionalFormatting>
  <conditionalFormatting sqref="A58">
    <cfRule type="expression" dxfId="400" priority="62" stopIfTrue="1">
      <formula>$H58="S/STOCK"</formula>
    </cfRule>
  </conditionalFormatting>
  <conditionalFormatting sqref="A58">
    <cfRule type="expression" dxfId="399" priority="61" stopIfTrue="1">
      <formula>$H58="S/STOCK"</formula>
    </cfRule>
  </conditionalFormatting>
  <conditionalFormatting sqref="A58">
    <cfRule type="expression" dxfId="398" priority="60" stopIfTrue="1">
      <formula>$H58="S/STOCK"</formula>
    </cfRule>
  </conditionalFormatting>
  <conditionalFormatting sqref="A56">
    <cfRule type="expression" dxfId="397" priority="22" stopIfTrue="1">
      <formula>$H56="S/STOCK"</formula>
    </cfRule>
  </conditionalFormatting>
  <conditionalFormatting sqref="A56">
    <cfRule type="expression" dxfId="396" priority="21" stopIfTrue="1">
      <formula>$H56="S/STOCK"</formula>
    </cfRule>
  </conditionalFormatting>
  <conditionalFormatting sqref="A56">
    <cfRule type="expression" dxfId="395" priority="20" stopIfTrue="1">
      <formula>$H56="S/STOCK"</formula>
    </cfRule>
  </conditionalFormatting>
  <conditionalFormatting sqref="A56">
    <cfRule type="expression" dxfId="394" priority="19" stopIfTrue="1">
      <formula>$H56="S/STOCK"</formula>
    </cfRule>
  </conditionalFormatting>
  <conditionalFormatting sqref="A56">
    <cfRule type="expression" dxfId="393" priority="18" stopIfTrue="1">
      <formula>$H56="S/STOCK"</formula>
    </cfRule>
  </conditionalFormatting>
  <conditionalFormatting sqref="A56">
    <cfRule type="expression" dxfId="392" priority="17" stopIfTrue="1">
      <formula>$H56="S/STOCK"</formula>
    </cfRule>
  </conditionalFormatting>
  <conditionalFormatting sqref="A56">
    <cfRule type="expression" dxfId="391" priority="16" stopIfTrue="1">
      <formula>$H56="S/STOCK"</formula>
    </cfRule>
  </conditionalFormatting>
  <conditionalFormatting sqref="A56">
    <cfRule type="expression" dxfId="390" priority="15" stopIfTrue="1">
      <formula>$H56="S/STOCK"</formula>
    </cfRule>
  </conditionalFormatting>
  <conditionalFormatting sqref="A56">
    <cfRule type="expression" dxfId="389" priority="14" stopIfTrue="1">
      <formula>$H56="S/STOCK"</formula>
    </cfRule>
  </conditionalFormatting>
  <conditionalFormatting sqref="A56">
    <cfRule type="expression" dxfId="388" priority="13" stopIfTrue="1">
      <formula>$H56="S/STOCK"</formula>
    </cfRule>
  </conditionalFormatting>
  <conditionalFormatting sqref="A56">
    <cfRule type="expression" dxfId="387" priority="12" stopIfTrue="1">
      <formula>$H56="S/STOCK"</formula>
    </cfRule>
  </conditionalFormatting>
  <conditionalFormatting sqref="A56">
    <cfRule type="expression" dxfId="386" priority="11" stopIfTrue="1">
      <formula>$H56="S/STOCK"</formula>
    </cfRule>
  </conditionalFormatting>
  <conditionalFormatting sqref="A56">
    <cfRule type="expression" dxfId="385" priority="10" stopIfTrue="1">
      <formula>$H56="S/STOCK"</formula>
    </cfRule>
  </conditionalFormatting>
  <conditionalFormatting sqref="A56">
    <cfRule type="expression" dxfId="384" priority="9" stopIfTrue="1">
      <formula>$H56="S/STOCK"</formula>
    </cfRule>
  </conditionalFormatting>
  <conditionalFormatting sqref="A56">
    <cfRule type="expression" dxfId="383" priority="8" stopIfTrue="1">
      <formula>$H56="S/STOCK"</formula>
    </cfRule>
  </conditionalFormatting>
  <conditionalFormatting sqref="A56">
    <cfRule type="expression" dxfId="382" priority="7" stopIfTrue="1">
      <formula>$H56="S/STOCK"</formula>
    </cfRule>
  </conditionalFormatting>
  <conditionalFormatting sqref="A56">
    <cfRule type="expression" dxfId="381" priority="6" stopIfTrue="1">
      <formula>$H56="S/STOCK"</formula>
    </cfRule>
  </conditionalFormatting>
  <conditionalFormatting sqref="A56">
    <cfRule type="expression" dxfId="380" priority="5" stopIfTrue="1">
      <formula>$H56="S/STOCK"</formula>
    </cfRule>
  </conditionalFormatting>
  <conditionalFormatting sqref="A56">
    <cfRule type="expression" dxfId="379" priority="4" stopIfTrue="1">
      <formula>$H56="S/STOCK"</formula>
    </cfRule>
  </conditionalFormatting>
  <conditionalFormatting sqref="A56">
    <cfRule type="expression" dxfId="378" priority="3" stopIfTrue="1">
      <formula>$H56="S/STOCK"</formula>
    </cfRule>
  </conditionalFormatting>
  <conditionalFormatting sqref="A56">
    <cfRule type="expression" dxfId="377" priority="2" stopIfTrue="1">
      <formula>$H56="S/STOCK"</formula>
    </cfRule>
  </conditionalFormatting>
  <conditionalFormatting sqref="A42">
    <cfRule type="expression" dxfId="376" priority="1" stopIfTrue="1">
      <formula>$H42="S/STOCK"</formula>
    </cfRule>
  </conditionalFormatting>
  <dataValidations count="1">
    <dataValidation type="list" allowBlank="1" showInputMessage="1" showErrorMessage="1" sqref="A65:A69 A40:A59 A12:A20 A23:A37">
      <formula1>INGREDIENTES</formula1>
    </dataValidation>
  </dataValidations>
  <pageMargins left="0.25" right="0.25" top="0.75" bottom="0.75" header="0.3" footer="0.3"/>
  <pageSetup scale="45" firstPageNumber="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Y103"/>
  <sheetViews>
    <sheetView showGridLines="0" zoomScale="80" zoomScaleNormal="80" zoomScaleSheetLayoutView="80" workbookViewId="0">
      <selection sqref="A1:N1"/>
    </sheetView>
  </sheetViews>
  <sheetFormatPr baseColWidth="10" defaultColWidth="11.42578125" defaultRowHeight="12.75" x14ac:dyDescent="0.2"/>
  <cols>
    <col min="1" max="1" width="39.28515625" style="28" bestFit="1" customWidth="1"/>
    <col min="2" max="3" width="14.7109375" style="28" customWidth="1"/>
    <col min="4" max="7" width="14.7109375" style="47" customWidth="1"/>
    <col min="8" max="10" width="14.7109375" style="36" customWidth="1"/>
    <col min="11" max="14" width="14.7109375" style="28" customWidth="1"/>
    <col min="15" max="15" width="6" style="28" customWidth="1"/>
    <col min="16" max="16" width="13.42578125" style="28" customWidth="1"/>
    <col min="17" max="17" width="24.28515625" style="28" bestFit="1" customWidth="1"/>
    <col min="18" max="18" width="9.7109375" style="28" customWidth="1"/>
    <col min="19" max="19" width="12.140625" style="28" customWidth="1"/>
    <col min="20" max="20" width="14.7109375" style="28" customWidth="1"/>
    <col min="21" max="21" width="14.28515625" style="28" customWidth="1"/>
    <col min="22" max="22" width="13" style="28" customWidth="1"/>
    <col min="23" max="23" width="13.42578125" style="28" customWidth="1"/>
    <col min="24" max="16384" width="11.42578125" style="28"/>
  </cols>
  <sheetData>
    <row r="1" spans="1:155" ht="20.25" customHeight="1" thickBot="1" x14ac:dyDescent="0.25">
      <c r="A1" s="586" t="s">
        <v>5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157"/>
      <c r="P1" s="62"/>
      <c r="Q1" s="21"/>
      <c r="R1" s="21"/>
      <c r="S1" s="21"/>
      <c r="T1" s="21"/>
    </row>
    <row r="2" spans="1:155" ht="41.25" customHeight="1" x14ac:dyDescent="0.2">
      <c r="A2" s="63" t="s">
        <v>42</v>
      </c>
      <c r="B2" s="279" t="str">
        <f>'MENU COMÚN'!D6</f>
        <v>LECHE-TÉ- CAFÉ</v>
      </c>
      <c r="C2" s="279"/>
      <c r="D2" s="279" t="str">
        <f>'MENU COMÚN'!D7</f>
        <v>GRANOLA CON FRUTA</v>
      </c>
      <c r="E2" s="288"/>
      <c r="F2" s="259"/>
      <c r="G2" s="592" t="s">
        <v>386</v>
      </c>
      <c r="H2" s="593"/>
      <c r="I2" s="218">
        <f>LUNES!$I$2</f>
        <v>200</v>
      </c>
      <c r="K2" s="62"/>
      <c r="L2" s="62"/>
      <c r="M2" s="62"/>
      <c r="N2" s="62"/>
      <c r="O2" s="62"/>
      <c r="P2" s="62"/>
    </row>
    <row r="3" spans="1:155" ht="13.5" customHeight="1" thickBot="1" x14ac:dyDescent="0.25">
      <c r="A3" s="63" t="s">
        <v>21</v>
      </c>
      <c r="B3" s="21" t="s">
        <v>384</v>
      </c>
      <c r="C3" s="29"/>
      <c r="D3" s="65"/>
      <c r="E3" s="65"/>
      <c r="F3" s="65"/>
      <c r="G3" s="594" t="s">
        <v>134</v>
      </c>
      <c r="H3" s="595"/>
      <c r="I3" s="219">
        <f>LUNES!$I$3</f>
        <v>80</v>
      </c>
      <c r="K3" s="30"/>
      <c r="L3" s="62"/>
      <c r="M3" s="62"/>
      <c r="N3" s="62"/>
      <c r="O3" s="62"/>
      <c r="P3" s="62"/>
    </row>
    <row r="4" spans="1:155" ht="13.5" customHeight="1" x14ac:dyDescent="0.2">
      <c r="A4" s="63"/>
      <c r="B4" s="21" t="s">
        <v>905</v>
      </c>
      <c r="C4" s="29"/>
      <c r="D4" s="65"/>
      <c r="E4" s="65"/>
      <c r="F4" s="65"/>
      <c r="G4" s="65"/>
      <c r="H4" s="26"/>
      <c r="I4" s="26"/>
      <c r="J4" s="57"/>
      <c r="K4" s="30"/>
      <c r="L4" s="62"/>
      <c r="M4" s="62"/>
      <c r="N4" s="62"/>
      <c r="O4" s="62"/>
      <c r="P4" s="62"/>
    </row>
    <row r="5" spans="1:155" ht="13.5" customHeight="1" x14ac:dyDescent="0.2">
      <c r="A5" s="66"/>
      <c r="B5" s="261" t="str">
        <f>'MENU COMÚN'!D13</f>
        <v>1° SEMANA: CAZUELA DE VACUNO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2° SEMANA: CAZUELA DE AVE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3° SEMANA: CAZUELA DE VACUNO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4° SEMANA: CAZUELA DE AVE</v>
      </c>
      <c r="C5" s="262"/>
      <c r="D5" s="276"/>
      <c r="E5" s="65"/>
      <c r="F5" s="65"/>
      <c r="G5" s="65"/>
      <c r="H5" s="67"/>
      <c r="I5" s="67"/>
      <c r="J5" s="20"/>
      <c r="K5" s="30"/>
      <c r="L5" s="62"/>
      <c r="M5" s="62"/>
      <c r="N5" s="62"/>
      <c r="O5" s="62"/>
      <c r="P5" s="62"/>
      <c r="Q5" s="17"/>
      <c r="R5" s="189"/>
    </row>
    <row r="6" spans="1:155" ht="13.5" customHeight="1" x14ac:dyDescent="0.2">
      <c r="A6" s="66"/>
      <c r="B6" s="261" t="str">
        <f>'MENU COMÚN'!D14</f>
        <v>MOTE CON HUESILLOS</v>
      </c>
      <c r="C6" s="29"/>
      <c r="D6" s="65"/>
      <c r="E6" s="65"/>
      <c r="F6" s="65"/>
      <c r="G6" s="65"/>
      <c r="H6" s="67"/>
      <c r="I6" s="67"/>
      <c r="J6" s="20"/>
      <c r="K6" s="30"/>
      <c r="L6" s="62"/>
      <c r="M6" s="62"/>
      <c r="N6" s="62"/>
      <c r="O6" s="62"/>
      <c r="P6" s="62"/>
      <c r="Q6" s="198" t="s">
        <v>893</v>
      </c>
      <c r="R6" s="186"/>
    </row>
    <row r="7" spans="1:155" ht="25.5" x14ac:dyDescent="0.2">
      <c r="A7" s="63" t="s">
        <v>23</v>
      </c>
      <c r="B7" s="21" t="str">
        <f>'MENU COMÚN'!D17</f>
        <v>CREMA DESHIDRATADA</v>
      </c>
      <c r="C7" s="21"/>
      <c r="D7" s="65"/>
      <c r="E7" s="65"/>
      <c r="F7" s="65"/>
      <c r="G7" s="65"/>
      <c r="H7" s="31"/>
      <c r="I7" s="31"/>
      <c r="J7" s="22"/>
      <c r="K7" s="30"/>
      <c r="L7" s="30"/>
      <c r="M7" s="30"/>
      <c r="N7" s="30"/>
      <c r="O7" s="30"/>
      <c r="P7" s="30"/>
      <c r="Q7" s="199">
        <v>0</v>
      </c>
      <c r="R7" s="168" t="s">
        <v>127</v>
      </c>
      <c r="S7" s="168" t="s">
        <v>128</v>
      </c>
      <c r="T7" s="169" t="s">
        <v>129</v>
      </c>
      <c r="U7" s="168" t="s">
        <v>130</v>
      </c>
      <c r="V7" s="168" t="s">
        <v>131</v>
      </c>
      <c r="W7" s="168" t="s">
        <v>132</v>
      </c>
      <c r="X7" s="168" t="s">
        <v>133</v>
      </c>
    </row>
    <row r="8" spans="1:155" ht="13.5" customHeight="1" x14ac:dyDescent="0.2">
      <c r="A8" s="64"/>
      <c r="B8" s="261" t="str">
        <f>'MENU COMÚN'!D21</f>
        <v xml:space="preserve">TRUTRO ASADO                                                                                                                                                            CON BUDÍN DE VERDURAS                          </v>
      </c>
      <c r="C8" s="261"/>
      <c r="D8" s="277"/>
      <c r="E8" s="277"/>
      <c r="F8" s="46"/>
      <c r="G8" s="46"/>
      <c r="H8" s="31"/>
      <c r="I8" s="31"/>
      <c r="J8" s="22"/>
      <c r="K8" s="30"/>
      <c r="L8" s="30"/>
      <c r="M8" s="30"/>
      <c r="N8" s="30"/>
      <c r="O8" s="30"/>
      <c r="P8" s="196">
        <f>LUNES!P8</f>
        <v>2065</v>
      </c>
      <c r="Q8" s="162" t="s">
        <v>388</v>
      </c>
      <c r="R8" s="158">
        <f>I51</f>
        <v>1978.0720238095237</v>
      </c>
      <c r="S8" s="158">
        <f>+$P$8+($P$8*$Q$7)</f>
        <v>2065</v>
      </c>
      <c r="T8" s="159">
        <f>+$I$2-$I$3</f>
        <v>120</v>
      </c>
      <c r="U8" s="158">
        <f>$R$8*$T$8</f>
        <v>237368.64285714284</v>
      </c>
      <c r="V8" s="158">
        <f>$S$8*$T$8</f>
        <v>247800</v>
      </c>
      <c r="W8" s="158">
        <f>$V$8-$U$8</f>
        <v>10431.357142857159</v>
      </c>
      <c r="X8" s="160">
        <f>$W$8/$V$8</f>
        <v>4.2095872247204034E-2</v>
      </c>
    </row>
    <row r="9" spans="1:155" ht="13.5" customHeight="1" thickBot="1" x14ac:dyDescent="0.25">
      <c r="A9" s="64"/>
      <c r="B9" s="261" t="str">
        <f>'MENU COMÚN'!D22</f>
        <v>JALEA FRAMBUESA</v>
      </c>
      <c r="C9" s="21"/>
      <c r="D9" s="46"/>
      <c r="E9" s="46"/>
      <c r="F9" s="46"/>
      <c r="G9" s="46"/>
      <c r="H9" s="31"/>
      <c r="I9" s="31"/>
      <c r="J9" s="22"/>
      <c r="K9" s="30"/>
      <c r="L9" s="30"/>
      <c r="M9" s="30"/>
      <c r="N9" s="30"/>
      <c r="O9" s="30"/>
      <c r="P9" s="196">
        <f>LUNES!P9</f>
        <v>2429</v>
      </c>
      <c r="Q9" s="162" t="s">
        <v>134</v>
      </c>
      <c r="R9" s="166">
        <f>I18+I51+I68</f>
        <v>3742.6880238095237</v>
      </c>
      <c r="S9" s="158">
        <f>+$P$9+($P$9*$Q$7)</f>
        <v>2429</v>
      </c>
      <c r="T9" s="167">
        <f>+$I$3</f>
        <v>80</v>
      </c>
      <c r="U9" s="158">
        <f>$R$9*$T$9</f>
        <v>299415.04190476192</v>
      </c>
      <c r="V9" s="158">
        <f>$S$9*$T$9</f>
        <v>194320</v>
      </c>
      <c r="W9" s="161">
        <f>$V$9-$U$9</f>
        <v>-105095.04190476192</v>
      </c>
      <c r="X9" s="160">
        <f>$W$9/$V$9</f>
        <v>-0.54083492128840016</v>
      </c>
    </row>
    <row r="10" spans="1:155" s="17" customFormat="1" ht="26.25" thickBot="1" x14ac:dyDescent="0.25">
      <c r="A10" s="99" t="s">
        <v>17</v>
      </c>
      <c r="B10" s="100" t="s">
        <v>94</v>
      </c>
      <c r="C10" s="101" t="s">
        <v>18</v>
      </c>
      <c r="D10" s="101" t="s">
        <v>103</v>
      </c>
      <c r="E10" s="101"/>
      <c r="F10" s="101" t="s">
        <v>891</v>
      </c>
      <c r="G10" s="101" t="s">
        <v>91</v>
      </c>
      <c r="H10" s="101" t="s">
        <v>19</v>
      </c>
      <c r="I10" s="101" t="s">
        <v>45</v>
      </c>
      <c r="J10" s="102" t="s">
        <v>20</v>
      </c>
      <c r="K10" s="102" t="s">
        <v>43</v>
      </c>
      <c r="L10" s="103" t="s">
        <v>44</v>
      </c>
      <c r="M10" s="104" t="s">
        <v>207</v>
      </c>
      <c r="N10" s="105" t="s">
        <v>208</v>
      </c>
      <c r="O10" s="193"/>
      <c r="Q10" s="589" t="s">
        <v>29</v>
      </c>
      <c r="R10" s="590"/>
      <c r="S10" s="590"/>
      <c r="T10" s="591"/>
      <c r="U10" s="163">
        <f>SUM(U8:U9)</f>
        <v>536783.68476190476</v>
      </c>
      <c r="V10" s="163">
        <f>SUM(V8:V9)</f>
        <v>442120</v>
      </c>
      <c r="W10" s="164">
        <f>V10-U10</f>
        <v>-94663.684761904762</v>
      </c>
      <c r="X10" s="165">
        <f>W10/V10</f>
        <v>-0.21411310223899566</v>
      </c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</row>
    <row r="11" spans="1:155" s="17" customFormat="1" ht="13.5" customHeight="1" thickBot="1" x14ac:dyDescent="0.25">
      <c r="A11" s="106" t="s">
        <v>42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8"/>
      <c r="O11" s="32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</row>
    <row r="12" spans="1:155" s="17" customFormat="1" ht="13.5" customHeight="1" x14ac:dyDescent="0.2">
      <c r="A12" s="248" t="s">
        <v>412</v>
      </c>
      <c r="B12" s="141" t="str">
        <f>VLOOKUP($A12,NSN!$A:$B,2,FALSE)</f>
        <v>C903335</v>
      </c>
      <c r="C12" s="142" t="str">
        <f>VLOOKUP($A12,CODIGOS!$B:$E,4,FALSE)</f>
        <v>800 grs</v>
      </c>
      <c r="D12" s="143">
        <f t="shared" ref="D12:D17" si="0">($F12*$I$3)/1000</f>
        <v>1.6</v>
      </c>
      <c r="E12" s="143">
        <f>IF(VLOOKUP($B12,CODIGOS!$A:$F,6,0)&lt;&gt;1000,(($F12*$I$3)/VLOOKUP($B12,CODIGOS!$A:$F,6,0)),"")</f>
        <v>2</v>
      </c>
      <c r="F12" s="207">
        <v>20</v>
      </c>
      <c r="G12" s="144">
        <f>(F12/1000)*VLOOKUP($B12,CODIGOS!$A:$G,7,0)</f>
        <v>0.02</v>
      </c>
      <c r="H12" s="25">
        <f>VLOOKUP($A12,CODIGOS!$B:$D,2,FALSE)</f>
        <v>4975</v>
      </c>
      <c r="I12" s="25">
        <f t="shared" ref="I12:I17" si="1">IF($H12="S/STOCK","",$J12/$I$3)</f>
        <v>124.375</v>
      </c>
      <c r="J12" s="25">
        <f t="shared" ref="J12:J17" si="2">IF(H12="S/STOCK","",IF($E12="",$D12*$H12,$E12*$H12))</f>
        <v>9950</v>
      </c>
      <c r="K12" s="144">
        <f>VLOOKUP($B12,CODIGOS!$A:$K,8,0)*$G12*1000</f>
        <v>70.599999999999994</v>
      </c>
      <c r="L12" s="144">
        <f>VLOOKUP($B12,CODIGOS!$A:$K,9,0)*$G12*1000</f>
        <v>8.0200000000000014</v>
      </c>
      <c r="M12" s="144">
        <f>VLOOKUP($B12,CODIGOS!$A:$K,10,0)*$G12*1000</f>
        <v>0.02</v>
      </c>
      <c r="N12" s="220">
        <f>VLOOKUP($B12,CODIGOS!$A:$K,11,0)*$G12*1000</f>
        <v>9.58</v>
      </c>
      <c r="O12" s="22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</row>
    <row r="13" spans="1:155" s="17" customFormat="1" ht="13.5" customHeight="1" x14ac:dyDescent="0.2">
      <c r="A13" s="248" t="s">
        <v>10</v>
      </c>
      <c r="B13" s="122" t="str">
        <f>VLOOKUP($A13,NSN!$A:$B,2,FALSE)</f>
        <v>C000827</v>
      </c>
      <c r="C13" s="123" t="str">
        <f>VLOOKUP($A13,CODIGOS!$B:$E,4,FALSE)</f>
        <v>KG</v>
      </c>
      <c r="D13" s="124">
        <f t="shared" si="0"/>
        <v>0.12</v>
      </c>
      <c r="E13" s="124" t="str">
        <f>IF(VLOOKUP($B13,CODIGOS!$A:$F,6,0)&lt;&gt;1000,(($F13*$I$3)/VLOOKUP($B13,CODIGOS!$A:$F,6,0)),"")</f>
        <v/>
      </c>
      <c r="F13" s="206">
        <v>1.5</v>
      </c>
      <c r="G13" s="125">
        <f>(F13/1000)*VLOOKUP($B13,CODIGOS!$A:$G,7,0)</f>
        <v>1.5E-3</v>
      </c>
      <c r="H13" s="24">
        <f>VLOOKUP($A13,CODIGOS!$B:$D,2,FALSE)</f>
        <v>7800</v>
      </c>
      <c r="I13" s="24">
        <f t="shared" si="1"/>
        <v>11.7</v>
      </c>
      <c r="J13" s="24">
        <f t="shared" si="2"/>
        <v>936</v>
      </c>
      <c r="K13" s="125">
        <f>VLOOKUP($B13,CODIGOS!$A:$K,8,0)*$G13*1000</f>
        <v>1.5000000000000001E-2</v>
      </c>
      <c r="L13" s="125">
        <f>VLOOKUP($B13,CODIGOS!$A:$K,9,0)*$G13*1000</f>
        <v>0</v>
      </c>
      <c r="M13" s="125">
        <f>VLOOKUP($B13,CODIGOS!$A:$K,10,0)*$G13*1000</f>
        <v>0</v>
      </c>
      <c r="N13" s="221">
        <f>VLOOKUP($B13,CODIGOS!$A:$K,11,0)*$G13*1000</f>
        <v>3.0000000000000001E-3</v>
      </c>
      <c r="O13" s="22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</row>
    <row r="14" spans="1:155" s="17" customFormat="1" ht="13.5" customHeight="1" x14ac:dyDescent="0.2">
      <c r="A14" s="248" t="s">
        <v>646</v>
      </c>
      <c r="B14" s="122" t="str">
        <f>VLOOKUP($A14,NSN!$A:$B,2,FALSE)</f>
        <v>C000523</v>
      </c>
      <c r="C14" s="123" t="str">
        <f>VLOOKUP($A14,CODIGOS!$B:$E,4,FALSE)</f>
        <v>TA 400 gr</v>
      </c>
      <c r="D14" s="124">
        <f t="shared" si="0"/>
        <v>0.08</v>
      </c>
      <c r="E14" s="124">
        <f>IF(VLOOKUP($B14,CODIGOS!$A:$F,6,0)&lt;&gt;1000,(($F14*$I$3)/VLOOKUP($B14,CODIGOS!$A:$F,6,0)),"")</f>
        <v>0.2</v>
      </c>
      <c r="F14" s="206">
        <v>1</v>
      </c>
      <c r="G14" s="125">
        <f>(F14/1000)*VLOOKUP($B14,CODIGOS!$A:$G,7,0)</f>
        <v>1E-3</v>
      </c>
      <c r="H14" s="24">
        <f>VLOOKUP($A14,CODIGOS!$B:$D,2,FALSE)</f>
        <v>9990</v>
      </c>
      <c r="I14" s="24">
        <f t="shared" si="1"/>
        <v>24.975000000000001</v>
      </c>
      <c r="J14" s="24">
        <f t="shared" si="2"/>
        <v>1998</v>
      </c>
      <c r="K14" s="125">
        <f>VLOOKUP($B14,CODIGOS!$A:$K,8,0)*$G14*1000</f>
        <v>2.61</v>
      </c>
      <c r="L14" s="125">
        <f>VLOOKUP($B14,CODIGOS!$A:$K,9,0)*$G14*1000</f>
        <v>0.16399999999999998</v>
      </c>
      <c r="M14" s="125">
        <f>VLOOKUP($B14,CODIGOS!$A:$K,10,0)*$G14*1000</f>
        <v>1E-3</v>
      </c>
      <c r="N14" s="221">
        <f>VLOOKUP($B14,CODIGOS!$A:$K,11,0)*$G14*1000</f>
        <v>0.49</v>
      </c>
      <c r="O14" s="22"/>
      <c r="Q14" s="23"/>
      <c r="R14" s="2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</row>
    <row r="15" spans="1:155" s="17" customFormat="1" ht="12.75" customHeight="1" x14ac:dyDescent="0.2">
      <c r="A15" s="248" t="s">
        <v>394</v>
      </c>
      <c r="B15" s="122" t="str">
        <f>VLOOKUP($A15,NSN!$A:$B,2,FALSE)</f>
        <v>C000816</v>
      </c>
      <c r="C15" s="123" t="str">
        <f>VLOOKUP($A15,CODIGOS!$B:$E,4,FALSE)</f>
        <v>KG</v>
      </c>
      <c r="D15" s="124">
        <f t="shared" si="0"/>
        <v>0.8</v>
      </c>
      <c r="E15" s="124" t="str">
        <f>IF(VLOOKUP($B15,CODIGOS!$A:$F,6,0)&lt;&gt;1000,(($F15*$I$3)/VLOOKUP($B15,CODIGOS!$A:$F,6,0)),"")</f>
        <v/>
      </c>
      <c r="F15" s="210">
        <v>10</v>
      </c>
      <c r="G15" s="125">
        <f>(F15/1000)*VLOOKUP($B15,CODIGOS!$A:$G,7,0)</f>
        <v>0.01</v>
      </c>
      <c r="H15" s="24">
        <f>VLOOKUP($A15,CODIGOS!$B:$D,2,FALSE)</f>
        <v>1128</v>
      </c>
      <c r="I15" s="24">
        <f t="shared" si="1"/>
        <v>11.280000000000001</v>
      </c>
      <c r="J15" s="24">
        <f t="shared" si="2"/>
        <v>902.40000000000009</v>
      </c>
      <c r="K15" s="125">
        <f>VLOOKUP($B15,CODIGOS!$A:$K,8,0)*$G15*1000</f>
        <v>39.800000000000004</v>
      </c>
      <c r="L15" s="125">
        <f>VLOOKUP($B15,CODIGOS!$A:$K,9,0)*$G15*1000</f>
        <v>0</v>
      </c>
      <c r="M15" s="125">
        <f>VLOOKUP($B15,CODIGOS!$A:$K,10,0)*$G15*1000</f>
        <v>0</v>
      </c>
      <c r="N15" s="221">
        <f>VLOOKUP($B15,CODIGOS!$A:$K,11,0)*$G15*1000</f>
        <v>9.9500000000000011</v>
      </c>
      <c r="O15" s="192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</row>
    <row r="16" spans="1:155" s="17" customFormat="1" ht="13.5" customHeight="1" x14ac:dyDescent="0.2">
      <c r="A16" s="248" t="s">
        <v>2046</v>
      </c>
      <c r="B16" s="122" t="str">
        <f>VLOOKUP($A16,NSN!$A:$B,2,FALSE)</f>
        <v>C903241</v>
      </c>
      <c r="C16" s="123" t="str">
        <f>VLOOKUP($A16,CODIGOS!$B:$E,4,FALSE)</f>
        <v>PZ 320 GR</v>
      </c>
      <c r="D16" s="124">
        <f t="shared" si="0"/>
        <v>2.56</v>
      </c>
      <c r="E16" s="124">
        <f>IF(VLOOKUP($B16,CODIGOS!$A:$F,6,0)&lt;&gt;1000,(($F16*$I$3)/VLOOKUP($B16,CODIGOS!$A:$F,6,0)),"")</f>
        <v>8</v>
      </c>
      <c r="F16" s="501">
        <v>32</v>
      </c>
      <c r="G16" s="125">
        <f>(F16/1000)*VLOOKUP($B16,CODIGOS!$A:$G,7,0)</f>
        <v>3.2000000000000001E-2</v>
      </c>
      <c r="H16" s="24">
        <f>VLOOKUP($A16,CODIGOS!$B:$D,2,FALSE)</f>
        <v>2410</v>
      </c>
      <c r="I16" s="24">
        <f t="shared" si="1"/>
        <v>241</v>
      </c>
      <c r="J16" s="24">
        <f t="shared" ref="J16" si="3">IF(H16="S/STOCK","",IF($E16="",$D16*$H16,$E16*$H16))</f>
        <v>19280</v>
      </c>
      <c r="K16" s="125">
        <f>VLOOKUP($B16,CODIGOS!$A:$K,8,0)*$G16*1000</f>
        <v>136.32</v>
      </c>
      <c r="L16" s="125">
        <f>VLOOKUP($B16,CODIGOS!$A:$K,9,0)*$G16*1000</f>
        <v>3.552</v>
      </c>
      <c r="M16" s="125">
        <f>VLOOKUP($B16,CODIGOS!$A:$K,10,0)*$G16*1000</f>
        <v>4.992</v>
      </c>
      <c r="N16" s="221">
        <f>VLOOKUP($B16,CODIGOS!$A:$K,11,0)*$G16*1000</f>
        <v>19.295999999999999</v>
      </c>
      <c r="O16" s="192"/>
      <c r="Q16" s="38"/>
      <c r="R16" s="38"/>
      <c r="S16" s="38"/>
      <c r="T16" s="38"/>
      <c r="U16" s="52"/>
      <c r="V16" s="52"/>
      <c r="W16" s="34"/>
      <c r="X16" s="35"/>
      <c r="DN16" s="37"/>
      <c r="DO16" s="37"/>
      <c r="DP16" s="37"/>
      <c r="DQ16" s="37"/>
      <c r="DR16" s="37"/>
      <c r="DS16" s="37"/>
      <c r="DT16" s="37"/>
      <c r="DU16" s="37"/>
      <c r="DV16" s="37"/>
      <c r="DW16" s="37"/>
      <c r="DX16" s="37"/>
      <c r="DY16" s="37"/>
      <c r="DZ16" s="37"/>
      <c r="EA16" s="37"/>
      <c r="EB16" s="37"/>
      <c r="EC16" s="37"/>
      <c r="ED16" s="37"/>
      <c r="EE16" s="37"/>
      <c r="EF16" s="37"/>
      <c r="EG16" s="37"/>
      <c r="EH16" s="37"/>
      <c r="EI16" s="37"/>
      <c r="EJ16" s="37"/>
      <c r="EK16" s="37"/>
      <c r="EL16" s="37"/>
      <c r="EM16" s="37"/>
      <c r="EN16" s="37"/>
      <c r="EO16" s="37"/>
      <c r="EP16" s="37"/>
      <c r="EQ16" s="37"/>
      <c r="ER16" s="37"/>
      <c r="ES16" s="37"/>
      <c r="ET16" s="37"/>
      <c r="EU16" s="37"/>
      <c r="EV16" s="37"/>
      <c r="EW16" s="37"/>
      <c r="EX16" s="37"/>
      <c r="EY16" s="37"/>
    </row>
    <row r="17" spans="1:155" s="17" customFormat="1" ht="13.5" customHeight="1" thickBot="1" x14ac:dyDescent="0.25">
      <c r="A17" s="248" t="s">
        <v>89</v>
      </c>
      <c r="B17" s="148" t="str">
        <f>VLOOKUP($A17,NSN!$A:$B,2,FALSE)</f>
        <v>V000244</v>
      </c>
      <c r="C17" s="149" t="str">
        <f>VLOOKUP($A17,CODIGOS!$B:$E,4,FALSE)</f>
        <v>KG</v>
      </c>
      <c r="D17" s="150">
        <f t="shared" si="0"/>
        <v>9.6</v>
      </c>
      <c r="E17" s="150" t="str">
        <f>IF(VLOOKUP($B17,CODIGOS!$A:$F,6,0)&lt;&gt;1000,(($F17*$I$3)/VLOOKUP($B17,CODIGOS!$A:$F,6,0)),"")</f>
        <v/>
      </c>
      <c r="F17" s="502">
        <v>120</v>
      </c>
      <c r="G17" s="137">
        <f>(F17/1000)*VLOOKUP($B17,CODIGOS!$A:$G,7,0)</f>
        <v>0.12</v>
      </c>
      <c r="H17" s="222">
        <f>VLOOKUP($A17,CODIGOS!$B:$D,2,FALSE)</f>
        <v>1693</v>
      </c>
      <c r="I17" s="222">
        <f t="shared" si="1"/>
        <v>203.16</v>
      </c>
      <c r="J17" s="222">
        <f t="shared" si="2"/>
        <v>16252.8</v>
      </c>
      <c r="K17" s="137">
        <f>VLOOKUP($B17,CODIGOS!$A:$K,8,0)*$G17*1000</f>
        <v>112.79999999999998</v>
      </c>
      <c r="L17" s="137">
        <f>VLOOKUP($B17,CODIGOS!$A:$K,9,0)*$G17*1000</f>
        <v>1.56</v>
      </c>
      <c r="M17" s="137">
        <f>VLOOKUP($B17,CODIGOS!$A:$K,10,0)*$G17*1000</f>
        <v>0.48000000000000004</v>
      </c>
      <c r="N17" s="223">
        <f>VLOOKUP($B17,CODIGOS!$A:$K,11,0)*$G17*1000</f>
        <v>25.56</v>
      </c>
      <c r="O17" s="192"/>
      <c r="Q17" s="38"/>
      <c r="R17" s="38"/>
      <c r="S17" s="38"/>
      <c r="T17" s="38"/>
      <c r="U17" s="52"/>
      <c r="V17" s="52"/>
      <c r="W17" s="34"/>
      <c r="X17" s="35"/>
      <c r="DN17" s="37"/>
      <c r="DO17" s="37"/>
      <c r="DP17" s="37"/>
      <c r="DQ17" s="37"/>
      <c r="DR17" s="37"/>
      <c r="DS17" s="37"/>
      <c r="DT17" s="37"/>
      <c r="DU17" s="37"/>
      <c r="DV17" s="37"/>
      <c r="DW17" s="37"/>
      <c r="DX17" s="37"/>
      <c r="DY17" s="37"/>
      <c r="DZ17" s="37"/>
      <c r="EA17" s="37"/>
      <c r="EB17" s="37"/>
      <c r="EC17" s="37"/>
      <c r="ED17" s="37"/>
      <c r="EE17" s="37"/>
      <c r="EF17" s="37"/>
      <c r="EG17" s="37"/>
      <c r="EH17" s="37"/>
      <c r="EI17" s="37"/>
      <c r="EJ17" s="37"/>
      <c r="EK17" s="37"/>
      <c r="EL17" s="37"/>
      <c r="EM17" s="37"/>
      <c r="EN17" s="37"/>
      <c r="EO17" s="37"/>
      <c r="EP17" s="37"/>
      <c r="EQ17" s="37"/>
      <c r="ER17" s="37"/>
      <c r="ES17" s="37"/>
      <c r="ET17" s="37"/>
      <c r="EU17" s="37"/>
      <c r="EV17" s="37"/>
      <c r="EW17" s="37"/>
      <c r="EX17" s="37"/>
      <c r="EY17" s="37"/>
    </row>
    <row r="18" spans="1:155" s="17" customFormat="1" ht="13.5" customHeight="1" thickBot="1" x14ac:dyDescent="0.25">
      <c r="A18" s="17" t="s">
        <v>627</v>
      </c>
      <c r="B18" s="33"/>
      <c r="C18" s="18"/>
      <c r="D18" s="126"/>
      <c r="E18" s="126"/>
      <c r="F18" s="211"/>
      <c r="G18" s="19"/>
      <c r="H18" s="41"/>
      <c r="I18" s="224">
        <f t="shared" ref="I18:N18" si="4">SUM(I12:I17)</f>
        <v>616.49</v>
      </c>
      <c r="J18" s="225">
        <f t="shared" si="4"/>
        <v>49319.199999999997</v>
      </c>
      <c r="K18" s="226">
        <f t="shared" si="4"/>
        <v>362.14499999999998</v>
      </c>
      <c r="L18" s="226">
        <f t="shared" si="4"/>
        <v>13.296000000000001</v>
      </c>
      <c r="M18" s="226">
        <f t="shared" si="4"/>
        <v>5.4930000000000003</v>
      </c>
      <c r="N18" s="227">
        <f t="shared" si="4"/>
        <v>64.879000000000005</v>
      </c>
      <c r="O18" s="192"/>
      <c r="Q18" s="38"/>
      <c r="R18" s="38"/>
      <c r="S18" s="38"/>
      <c r="T18" s="38"/>
      <c r="U18" s="52"/>
      <c r="V18" s="52"/>
      <c r="W18" s="34"/>
      <c r="X18" s="35"/>
      <c r="DN18" s="37"/>
      <c r="DO18" s="37"/>
      <c r="DP18" s="37"/>
      <c r="DQ18" s="37"/>
      <c r="DR18" s="37"/>
      <c r="DS18" s="37"/>
      <c r="DT18" s="37"/>
      <c r="DU18" s="37"/>
      <c r="DV18" s="37"/>
      <c r="DW18" s="37"/>
      <c r="DX18" s="37"/>
      <c r="DY18" s="37"/>
      <c r="DZ18" s="37"/>
      <c r="EA18" s="37"/>
      <c r="EB18" s="37"/>
      <c r="EC18" s="37"/>
      <c r="ED18" s="37"/>
      <c r="EE18" s="37"/>
      <c r="EF18" s="37"/>
      <c r="EG18" s="37"/>
      <c r="EH18" s="37"/>
      <c r="EI18" s="37"/>
      <c r="EJ18" s="37"/>
      <c r="EK18" s="37"/>
      <c r="EL18" s="37"/>
      <c r="EM18" s="37"/>
      <c r="EN18" s="37"/>
      <c r="EO18" s="37"/>
      <c r="EP18" s="37"/>
      <c r="EQ18" s="37"/>
      <c r="ER18" s="37"/>
      <c r="ES18" s="37"/>
      <c r="ET18" s="37"/>
      <c r="EU18" s="37"/>
      <c r="EV18" s="37"/>
      <c r="EW18" s="37"/>
      <c r="EX18" s="37"/>
      <c r="EY18" s="37"/>
    </row>
    <row r="19" spans="1:155" s="17" customFormat="1" ht="13.5" customHeight="1" thickBot="1" x14ac:dyDescent="0.25">
      <c r="A19" s="106" t="s">
        <v>21</v>
      </c>
      <c r="B19" s="107"/>
      <c r="C19" s="107"/>
      <c r="D19" s="107"/>
      <c r="E19" s="107"/>
      <c r="F19" s="212"/>
      <c r="G19" s="107"/>
      <c r="H19" s="107"/>
      <c r="I19" s="191"/>
      <c r="J19" s="191"/>
      <c r="K19" s="191"/>
      <c r="L19" s="191"/>
      <c r="M19" s="191"/>
      <c r="N19" s="200"/>
      <c r="O19" s="192"/>
      <c r="Q19" s="38"/>
      <c r="R19" s="38"/>
      <c r="S19" s="38"/>
      <c r="T19" s="38"/>
      <c r="U19" s="52"/>
      <c r="V19" s="52"/>
      <c r="W19" s="34"/>
      <c r="X19" s="35"/>
      <c r="DN19" s="37"/>
      <c r="DO19" s="37"/>
      <c r="DP19" s="37"/>
      <c r="DQ19" s="37"/>
      <c r="DR19" s="37"/>
      <c r="DS19" s="37"/>
      <c r="DT19" s="37"/>
      <c r="DU19" s="37"/>
      <c r="DV19" s="37"/>
      <c r="DW19" s="37"/>
      <c r="DX19" s="37"/>
      <c r="DY19" s="37"/>
      <c r="DZ19" s="37"/>
      <c r="EA19" s="37"/>
      <c r="EB19" s="37"/>
      <c r="EC19" s="37"/>
      <c r="ED19" s="37"/>
      <c r="EE19" s="37"/>
      <c r="EF19" s="37"/>
      <c r="EG19" s="37"/>
      <c r="EH19" s="37"/>
      <c r="EI19" s="37"/>
      <c r="EJ19" s="37"/>
      <c r="EK19" s="37"/>
      <c r="EL19" s="37"/>
      <c r="EM19" s="37"/>
      <c r="EN19" s="37"/>
      <c r="EO19" s="37"/>
      <c r="EP19" s="37"/>
      <c r="EQ19" s="37"/>
      <c r="ER19" s="37"/>
      <c r="ES19" s="37"/>
      <c r="ET19" s="37"/>
      <c r="EU19" s="37"/>
      <c r="EV19" s="37"/>
      <c r="EW19" s="37"/>
      <c r="EX19" s="37"/>
      <c r="EY19" s="37"/>
    </row>
    <row r="20" spans="1:155" s="17" customFormat="1" ht="13.5" customHeight="1" x14ac:dyDescent="0.2">
      <c r="A20" s="248" t="s">
        <v>72</v>
      </c>
      <c r="B20" s="141" t="str">
        <f>VLOOKUP($A20,NSN!$A:$B,2,FALSE)</f>
        <v>C902859</v>
      </c>
      <c r="C20" s="142" t="str">
        <f>VLOOKUP($A20,CODIGOS!$B:$E,4,FALSE)</f>
        <v>KG</v>
      </c>
      <c r="D20" s="143">
        <f t="shared" ref="D20:D50" si="5">($F20*$I$2)/1000</f>
        <v>1.2</v>
      </c>
      <c r="E20" s="143" t="str">
        <f>IF(VLOOKUP($B20,CODIGOS!$A:$F,6,0)&lt;&gt;1000,(($F20*$I$2)/VLOOKUP($B20,CODIGOS!$A:$F,6,0)),"")</f>
        <v/>
      </c>
      <c r="F20" s="207">
        <v>6</v>
      </c>
      <c r="G20" s="240">
        <f>(F20/1000)*VLOOKUP($B20,CODIGOS!$A:$G,7,0)</f>
        <v>6.0000000000000001E-3</v>
      </c>
      <c r="H20" s="25">
        <f>VLOOKUP($A20,CODIGOS!$B:$D,2,FALSE)</f>
        <v>2986</v>
      </c>
      <c r="I20" s="241">
        <f t="shared" ref="I20:I50" si="6">IF($H20="S/STOCK","",$J20/$I$2)</f>
        <v>17.916</v>
      </c>
      <c r="J20" s="59">
        <f t="shared" ref="J20:J50" si="7">IF(H20="S/STOCK","",IF($E20="",$D20*$H20,$E20*$H20))</f>
        <v>3583.2</v>
      </c>
      <c r="K20" s="128">
        <f>VLOOKUP($B20,CODIGOS!$A:$K,8,0)*$G20*1000</f>
        <v>21.54</v>
      </c>
      <c r="L20" s="129">
        <f>VLOOKUP($B20,CODIGOS!$A:$K,9,0)*$G20*1000</f>
        <v>0</v>
      </c>
      <c r="M20" s="129">
        <f>VLOOKUP($B20,CODIGOS!$A:$K,10,0)*$G20*1000</f>
        <v>0</v>
      </c>
      <c r="N20" s="130">
        <f>VLOOKUP($B20,CODIGOS!$A:$K,11,0)*$G20*1000</f>
        <v>5.3759999999999994</v>
      </c>
      <c r="O20" s="194"/>
      <c r="DN20" s="37"/>
      <c r="DO20" s="37"/>
      <c r="DP20" s="37"/>
      <c r="DQ20" s="37"/>
      <c r="DR20" s="37"/>
      <c r="DS20" s="37"/>
      <c r="DT20" s="37"/>
      <c r="DU20" s="37"/>
      <c r="DV20" s="37"/>
      <c r="DW20" s="37"/>
      <c r="DX20" s="37"/>
      <c r="DY20" s="37"/>
      <c r="DZ20" s="37"/>
      <c r="EA20" s="37"/>
      <c r="EB20" s="37"/>
      <c r="EC20" s="37"/>
      <c r="ED20" s="37"/>
      <c r="EE20" s="37"/>
      <c r="EF20" s="37"/>
      <c r="EG20" s="37"/>
      <c r="EH20" s="37"/>
      <c r="EI20" s="37"/>
      <c r="EJ20" s="37"/>
      <c r="EK20" s="37"/>
      <c r="EL20" s="37"/>
      <c r="EM20" s="37"/>
      <c r="EN20" s="37"/>
      <c r="EO20" s="37"/>
      <c r="EP20" s="37"/>
      <c r="EQ20" s="37"/>
      <c r="ER20" s="37"/>
      <c r="ES20" s="37"/>
      <c r="ET20" s="37"/>
      <c r="EU20" s="37"/>
      <c r="EV20" s="37"/>
      <c r="EW20" s="37"/>
      <c r="EX20" s="37"/>
      <c r="EY20" s="37"/>
    </row>
    <row r="21" spans="1:155" s="37" customFormat="1" ht="13.5" customHeight="1" x14ac:dyDescent="0.2">
      <c r="A21" s="248" t="s">
        <v>13</v>
      </c>
      <c r="B21" s="122" t="str">
        <f>VLOOKUP($A21,NSN!$A:$B,2,FALSE)</f>
        <v>V000415</v>
      </c>
      <c r="C21" s="123" t="str">
        <f>VLOOKUP($A21,CODIGOS!$B:$E,4,FALSE)</f>
        <v>KG</v>
      </c>
      <c r="D21" s="124">
        <f t="shared" si="5"/>
        <v>10</v>
      </c>
      <c r="E21" s="124" t="str">
        <f>IF(VLOOKUP($B21,CODIGOS!$A:$F,6,0)&lt;&gt;1000,(($F21*$I$2)/VLOOKUP($B21,CODIGOS!$A:$F,6,0)),"")</f>
        <v/>
      </c>
      <c r="F21" s="206">
        <v>50</v>
      </c>
      <c r="G21" s="135">
        <f>(F21/1000)*VLOOKUP($B21,CODIGOS!$A:$G,7,0)</f>
        <v>0.05</v>
      </c>
      <c r="H21" s="24">
        <f>VLOOKUP($A21,CODIGOS!$B:$D,2,FALSE)</f>
        <v>1783</v>
      </c>
      <c r="I21" s="147">
        <f t="shared" si="6"/>
        <v>89.15</v>
      </c>
      <c r="J21" s="53">
        <f t="shared" si="7"/>
        <v>17830</v>
      </c>
      <c r="K21" s="131">
        <f>VLOOKUP($B21,CODIGOS!$A:$K,8,0)*$G21*1000</f>
        <v>157.5</v>
      </c>
      <c r="L21" s="132">
        <f>VLOOKUP($B21,CODIGOS!$A:$K,9,0)*$G21*1000</f>
        <v>4.0999999999999996</v>
      </c>
      <c r="M21" s="132">
        <f>VLOOKUP($B21,CODIGOS!$A:$K,10,0)*$G21*1000</f>
        <v>2</v>
      </c>
      <c r="N21" s="133">
        <f>VLOOKUP($B21,CODIGOS!$A:$K,11,0)*$G21*1000</f>
        <v>30.8</v>
      </c>
      <c r="O21" s="22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7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7"/>
      <c r="DF21" s="17"/>
      <c r="DG21" s="17"/>
      <c r="DH21" s="17"/>
      <c r="DI21" s="17"/>
      <c r="DJ21" s="17"/>
      <c r="DK21" s="17"/>
      <c r="DL21" s="17"/>
      <c r="DM21" s="17"/>
    </row>
    <row r="22" spans="1:155" s="37" customFormat="1" ht="13.5" customHeight="1" x14ac:dyDescent="0.2">
      <c r="A22" s="248" t="s">
        <v>84</v>
      </c>
      <c r="B22" s="122" t="str">
        <f>VLOOKUP($A22,NSN!$A:$B,2,FALSE)</f>
        <v>V000317</v>
      </c>
      <c r="C22" s="123" t="str">
        <f>VLOOKUP($A22,CODIGOS!$B:$E,4,FALSE)</f>
        <v>KG</v>
      </c>
      <c r="D22" s="124">
        <f t="shared" si="5"/>
        <v>12</v>
      </c>
      <c r="E22" s="124" t="str">
        <f>IF(VLOOKUP($B22,CODIGOS!$A:$F,6,0)&lt;&gt;1000,(($F22*$I$2)/VLOOKUP($B22,CODIGOS!$A:$F,6,0)),"")</f>
        <v/>
      </c>
      <c r="F22" s="206">
        <v>60</v>
      </c>
      <c r="G22" s="135">
        <f>(F22/1000)*VLOOKUP($B22,CODIGOS!$A:$G,7,0)</f>
        <v>5.6699999999999993E-2</v>
      </c>
      <c r="H22" s="24">
        <f>VLOOKUP($A22,CODIGOS!$B:$D,2,FALSE)</f>
        <v>1669</v>
      </c>
      <c r="I22" s="147">
        <f t="shared" si="6"/>
        <v>100.14</v>
      </c>
      <c r="J22" s="53">
        <f t="shared" si="7"/>
        <v>20028</v>
      </c>
      <c r="K22" s="131">
        <f>VLOOKUP($B22,CODIGOS!$A:$K,8,0)*$G22*1000</f>
        <v>11.34</v>
      </c>
      <c r="L22" s="132">
        <f>VLOOKUP($B22,CODIGOS!$A:$K,9,0)*$G22*1000</f>
        <v>0.45359999999999995</v>
      </c>
      <c r="M22" s="132">
        <f>VLOOKUP($B22,CODIGOS!$A:$K,10,0)*$G22*1000</f>
        <v>0.22679999999999997</v>
      </c>
      <c r="N22" s="133">
        <f>VLOOKUP($B22,CODIGOS!$A:$K,11,0)*$G22*1000</f>
        <v>1.8143999999999998</v>
      </c>
      <c r="O22" s="22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  <c r="AL22" s="17"/>
      <c r="AM22" s="17"/>
      <c r="AN22" s="17"/>
      <c r="AO22" s="17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17"/>
      <c r="CJ22" s="17"/>
      <c r="CK22" s="17"/>
      <c r="CL22" s="17"/>
      <c r="CM22" s="17"/>
      <c r="CN22" s="17"/>
      <c r="CO22" s="17"/>
      <c r="CP22" s="17"/>
      <c r="CQ22" s="17"/>
      <c r="CR22" s="17"/>
      <c r="CS22" s="17"/>
      <c r="CT22" s="17"/>
      <c r="CU22" s="17"/>
      <c r="CV22" s="17"/>
      <c r="CW22" s="17"/>
      <c r="CX22" s="17"/>
      <c r="CY22" s="17"/>
      <c r="CZ22" s="17"/>
      <c r="DA22" s="17"/>
      <c r="DB22" s="17"/>
      <c r="DC22" s="17"/>
      <c r="DD22" s="17"/>
      <c r="DE22" s="17"/>
      <c r="DF22" s="17"/>
      <c r="DG22" s="17"/>
      <c r="DH22" s="17"/>
      <c r="DI22" s="17"/>
      <c r="DJ22" s="17"/>
      <c r="DK22" s="17"/>
      <c r="DL22" s="17"/>
      <c r="DM22" s="17"/>
    </row>
    <row r="23" spans="1:155" s="37" customFormat="1" ht="13.5" customHeight="1" x14ac:dyDescent="0.2">
      <c r="A23" s="248" t="s">
        <v>56</v>
      </c>
      <c r="B23" s="122" t="str">
        <f>VLOOKUP($A23,NSN!$A:$B,2,FALSE)</f>
        <v>C000249</v>
      </c>
      <c r="C23" s="123" t="str">
        <f>VLOOKUP($A23,CODIGOS!$B:$E,4,FALSE)</f>
        <v>KG</v>
      </c>
      <c r="D23" s="124">
        <f t="shared" si="5"/>
        <v>6</v>
      </c>
      <c r="E23" s="124" t="str">
        <f>IF(VLOOKUP($B23,CODIGOS!$A:$F,6,0)&lt;&gt;1000,(($F23*$I$2)/VLOOKUP($B23,CODIGOS!$A:$F,6,0)),"")</f>
        <v/>
      </c>
      <c r="F23" s="206">
        <v>30</v>
      </c>
      <c r="G23" s="135">
        <f>(F23/1000)*VLOOKUP($B23,CODIGOS!$A:$G,7,0)</f>
        <v>2.673E-2</v>
      </c>
      <c r="H23" s="24">
        <f>VLOOKUP($A23,CODIGOS!$B:$D,2,FALSE)</f>
        <v>640</v>
      </c>
      <c r="I23" s="147">
        <f t="shared" si="6"/>
        <v>19.2</v>
      </c>
      <c r="J23" s="53">
        <f t="shared" si="7"/>
        <v>3840</v>
      </c>
      <c r="K23" s="131">
        <f>VLOOKUP($B23,CODIGOS!$A:$K,8,0)*$G23*1000</f>
        <v>11.4939</v>
      </c>
      <c r="L23" s="132">
        <f>VLOOKUP($B23,CODIGOS!$A:$K,9,0)*$G23*1000</f>
        <v>0.21384</v>
      </c>
      <c r="M23" s="132">
        <f>VLOOKUP($B23,CODIGOS!$A:$K,10,0)*$G23*1000</f>
        <v>5.3460000000000001E-2</v>
      </c>
      <c r="N23" s="133">
        <f>VLOOKUP($B23,CODIGOS!$A:$K,11,0)*$G23*1000</f>
        <v>2.5660799999999999</v>
      </c>
      <c r="O23" s="22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  <c r="AL23" s="17"/>
      <c r="AM23" s="17"/>
      <c r="AN23" s="17"/>
      <c r="AO23" s="17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17"/>
      <c r="CJ23" s="17"/>
      <c r="CK23" s="17"/>
      <c r="CL23" s="17"/>
      <c r="CM23" s="17"/>
      <c r="CN23" s="17"/>
      <c r="CO23" s="17"/>
      <c r="CP23" s="17"/>
      <c r="CQ23" s="17"/>
      <c r="CR23" s="17"/>
      <c r="CS23" s="17"/>
      <c r="CT23" s="17"/>
      <c r="CU23" s="17"/>
      <c r="CV23" s="17"/>
      <c r="CW23" s="17"/>
      <c r="CX23" s="17"/>
      <c r="CY23" s="17"/>
      <c r="CZ23" s="17"/>
      <c r="DA23" s="17"/>
      <c r="DB23" s="17"/>
      <c r="DC23" s="17"/>
      <c r="DD23" s="17"/>
      <c r="DE23" s="17"/>
      <c r="DF23" s="17"/>
      <c r="DG23" s="17"/>
      <c r="DH23" s="17"/>
      <c r="DI23" s="17"/>
      <c r="DJ23" s="17"/>
      <c r="DK23" s="17"/>
      <c r="DL23" s="17"/>
      <c r="DM23" s="17"/>
    </row>
    <row r="24" spans="1:155" s="37" customFormat="1" ht="13.5" customHeight="1" x14ac:dyDescent="0.2">
      <c r="A24" s="248" t="s">
        <v>410</v>
      </c>
      <c r="B24" s="122" t="str">
        <f>VLOOKUP($A24,NSN!$A:$B,2,FALSE)</f>
        <v>C000367</v>
      </c>
      <c r="C24" s="123" t="str">
        <f>VLOOKUP($A24,CODIGOS!$B:$E,4,FALSE)</f>
        <v>KG</v>
      </c>
      <c r="D24" s="124">
        <f t="shared" si="5"/>
        <v>14</v>
      </c>
      <c r="E24" s="124" t="str">
        <f>IF(VLOOKUP($B24,CODIGOS!$A:$F,6,0)&lt;&gt;1000,(($F24*$I$2)/VLOOKUP($B24,CODIGOS!$A:$F,6,0)),"")</f>
        <v/>
      </c>
      <c r="F24" s="201">
        <v>70</v>
      </c>
      <c r="G24" s="135">
        <f>(F24/1000)*VLOOKUP($B24,CODIGOS!$A:$G,7,0)</f>
        <v>7.0000000000000007E-2</v>
      </c>
      <c r="H24" s="24">
        <f>VLOOKUP($A24,CODIGOS!$B:$D,2,FALSE)</f>
        <v>794</v>
      </c>
      <c r="I24" s="147">
        <f t="shared" si="6"/>
        <v>55.58</v>
      </c>
      <c r="J24" s="53">
        <f t="shared" si="7"/>
        <v>11116</v>
      </c>
      <c r="K24" s="131">
        <f>VLOOKUP($B24,CODIGOS!$A:$K,8,0)*$G24*1000</f>
        <v>243.60000000000002</v>
      </c>
      <c r="L24" s="132">
        <f>VLOOKUP($B24,CODIGOS!$A:$K,9,0)*$G24*1000</f>
        <v>5.6000000000000005</v>
      </c>
      <c r="M24" s="132">
        <f>VLOOKUP($B24,CODIGOS!$A:$K,10,0)*$G24*1000</f>
        <v>0.84000000000000019</v>
      </c>
      <c r="N24" s="133">
        <f>VLOOKUP($B24,CODIGOS!$A:$K,11,0)*$G24*1000</f>
        <v>53.480000000000004</v>
      </c>
      <c r="O24" s="22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  <c r="AL24" s="17"/>
      <c r="AM24" s="17"/>
      <c r="AN24" s="17"/>
      <c r="AO24" s="17"/>
      <c r="AP24" s="17"/>
      <c r="AQ24" s="17"/>
      <c r="AR24" s="17"/>
      <c r="AS24" s="17"/>
      <c r="AT24" s="17"/>
      <c r="AU24" s="17"/>
      <c r="AV24" s="17"/>
      <c r="AW24" s="17"/>
      <c r="AX24" s="17"/>
      <c r="AY24" s="17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17"/>
      <c r="CJ24" s="17"/>
      <c r="CK24" s="17"/>
      <c r="CL24" s="17"/>
      <c r="CM24" s="17"/>
      <c r="CN24" s="17"/>
      <c r="CO24" s="17"/>
      <c r="CP24" s="17"/>
      <c r="CQ24" s="17"/>
      <c r="CR24" s="17"/>
      <c r="CS24" s="17"/>
      <c r="CT24" s="17"/>
      <c r="CU24" s="17"/>
      <c r="CV24" s="17"/>
      <c r="CW24" s="17"/>
      <c r="CX24" s="17"/>
      <c r="CY24" s="17"/>
      <c r="CZ24" s="17"/>
      <c r="DA24" s="17"/>
      <c r="DB24" s="17"/>
      <c r="DC24" s="17"/>
      <c r="DD24" s="17"/>
      <c r="DE24" s="17"/>
      <c r="DF24" s="17"/>
      <c r="DG24" s="17"/>
      <c r="DH24" s="17"/>
      <c r="DI24" s="17"/>
      <c r="DJ24" s="17"/>
      <c r="DK24" s="17"/>
      <c r="DL24" s="17"/>
      <c r="DM24" s="17"/>
      <c r="DN24" s="17"/>
      <c r="DO24" s="17"/>
      <c r="DP24" s="17"/>
      <c r="DQ24" s="17"/>
      <c r="DR24" s="17"/>
      <c r="DS24" s="17"/>
      <c r="DT24" s="17"/>
      <c r="DU24" s="17"/>
      <c r="DV24" s="17"/>
      <c r="DW24" s="17"/>
      <c r="DX24" s="17"/>
      <c r="DY24" s="17"/>
      <c r="DZ24" s="17"/>
      <c r="EA24" s="17"/>
      <c r="EB24" s="17"/>
      <c r="EC24" s="17"/>
      <c r="ED24" s="17"/>
      <c r="EE24" s="17"/>
      <c r="EF24" s="17"/>
      <c r="EG24" s="17"/>
      <c r="EH24" s="17"/>
      <c r="EI24" s="17"/>
      <c r="EJ24" s="17"/>
      <c r="EK24" s="17"/>
      <c r="EL24" s="17"/>
      <c r="EM24" s="17"/>
      <c r="EN24" s="17"/>
      <c r="EO24" s="17"/>
      <c r="EP24" s="17"/>
      <c r="EQ24" s="17"/>
      <c r="ER24" s="17"/>
      <c r="ES24" s="17"/>
      <c r="ET24" s="17"/>
      <c r="EU24" s="17"/>
      <c r="EV24" s="17"/>
      <c r="EW24" s="17"/>
      <c r="EX24" s="17"/>
      <c r="EY24" s="17"/>
    </row>
    <row r="25" spans="1:155" s="37" customFormat="1" ht="13.5" customHeight="1" x14ac:dyDescent="0.2">
      <c r="A25" s="248" t="s">
        <v>563</v>
      </c>
      <c r="B25" s="122" t="str">
        <f>VLOOKUP($A25,NSN!$A:$B,2,FALSE)</f>
        <v>V000518</v>
      </c>
      <c r="C25" s="123" t="str">
        <f>VLOOKUP($A25,CODIGOS!$B:$E,4,FALSE)</f>
        <v>EA</v>
      </c>
      <c r="D25" s="124">
        <f t="shared" si="5"/>
        <v>2</v>
      </c>
      <c r="E25" s="124" t="str">
        <f>IF(VLOOKUP($B25,CODIGOS!$A:$F,6,0)&lt;&gt;1000,(($F25*$I$2)/VLOOKUP($B25,CODIGOS!$A:$F,6,0)),"")</f>
        <v/>
      </c>
      <c r="F25" s="210">
        <v>10</v>
      </c>
      <c r="G25" s="135">
        <f>(F25/1000)*VLOOKUP($B25,CODIGOS!$A:$G,7,0)</f>
        <v>0.01</v>
      </c>
      <c r="H25" s="24">
        <f>VLOOKUP($A25,CODIGOS!$B:$D,2,FALSE)</f>
        <v>3203</v>
      </c>
      <c r="I25" s="147">
        <f t="shared" si="6"/>
        <v>32.03</v>
      </c>
      <c r="J25" s="53">
        <f t="shared" si="7"/>
        <v>6406</v>
      </c>
      <c r="K25" s="131">
        <f>VLOOKUP($B25,CODIGOS!$A:$K,8,0)*$G25*1000</f>
        <v>89.7</v>
      </c>
      <c r="L25" s="132">
        <f>VLOOKUP($B25,CODIGOS!$A:$K,9,0)*$G25*1000</f>
        <v>0</v>
      </c>
      <c r="M25" s="132">
        <f>VLOOKUP($B25,CODIGOS!$A:$K,10,0)*$G25*1000</f>
        <v>9.9699999999999989</v>
      </c>
      <c r="N25" s="133">
        <f>VLOOKUP($B25,CODIGOS!$A:$K,11,0)*$G25*1000</f>
        <v>0</v>
      </c>
      <c r="O25" s="22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O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  <c r="CB25" s="17"/>
      <c r="CC25" s="17"/>
      <c r="CD25" s="17"/>
      <c r="CE25" s="17"/>
      <c r="CF25" s="17"/>
      <c r="CG25" s="17"/>
      <c r="CH25" s="17"/>
      <c r="CI25" s="17"/>
      <c r="CJ25" s="17"/>
      <c r="CK25" s="17"/>
      <c r="CL25" s="17"/>
      <c r="CM25" s="17"/>
      <c r="CN25" s="17"/>
      <c r="CO25" s="17"/>
      <c r="CP25" s="17"/>
      <c r="CQ25" s="17"/>
      <c r="CR25" s="17"/>
      <c r="CS25" s="17"/>
      <c r="CT25" s="17"/>
      <c r="CU25" s="17"/>
      <c r="CV25" s="17"/>
      <c r="CW25" s="17"/>
      <c r="CX25" s="17"/>
      <c r="CY25" s="17"/>
      <c r="CZ25" s="17"/>
      <c r="DA25" s="17"/>
      <c r="DB25" s="17"/>
      <c r="DC25" s="17"/>
      <c r="DD25" s="17"/>
      <c r="DE25" s="17"/>
      <c r="DF25" s="17"/>
      <c r="DG25" s="17"/>
      <c r="DH25" s="17"/>
      <c r="DI25" s="17"/>
      <c r="DJ25" s="17"/>
      <c r="DK25" s="17"/>
      <c r="DL25" s="17"/>
      <c r="DM25" s="17"/>
      <c r="DN25" s="17"/>
      <c r="DO25" s="17"/>
      <c r="DP25" s="17"/>
      <c r="DQ25" s="17"/>
      <c r="DR25" s="17"/>
      <c r="DS25" s="17"/>
      <c r="DT25" s="17"/>
      <c r="DU25" s="17"/>
      <c r="DV25" s="17"/>
      <c r="DW25" s="17"/>
      <c r="DX25" s="17"/>
      <c r="DY25" s="17"/>
      <c r="DZ25" s="17"/>
      <c r="EA25" s="17"/>
      <c r="EB25" s="17"/>
      <c r="EC25" s="17"/>
      <c r="ED25" s="17"/>
      <c r="EE25" s="17"/>
      <c r="EF25" s="17"/>
      <c r="EG25" s="17"/>
      <c r="EH25" s="17"/>
      <c r="EI25" s="17"/>
      <c r="EJ25" s="17"/>
      <c r="EK25" s="17"/>
      <c r="EL25" s="17"/>
      <c r="EM25" s="17"/>
      <c r="EN25" s="17"/>
      <c r="EO25" s="17"/>
      <c r="EP25" s="17"/>
      <c r="EQ25" s="17"/>
      <c r="ER25" s="17"/>
      <c r="ES25" s="17"/>
      <c r="ET25" s="17"/>
      <c r="EU25" s="17"/>
      <c r="EV25" s="17"/>
      <c r="EW25" s="17"/>
      <c r="EX25" s="17"/>
      <c r="EY25" s="17"/>
    </row>
    <row r="26" spans="1:155" s="37" customFormat="1" ht="13.5" customHeight="1" x14ac:dyDescent="0.2">
      <c r="A26" s="248" t="s">
        <v>123</v>
      </c>
      <c r="B26" s="122" t="str">
        <f>VLOOKUP($A26,NSN!$A:$B,2,FALSE)</f>
        <v>V000004</v>
      </c>
      <c r="C26" s="123" t="str">
        <f>VLOOKUP($A26,CODIGOS!$B:$E,4,FALSE)</f>
        <v>KG</v>
      </c>
      <c r="D26" s="124">
        <f t="shared" si="5"/>
        <v>1</v>
      </c>
      <c r="E26" s="124" t="str">
        <f>IF(VLOOKUP($B26,CODIGOS!$A:$F,6,0)&lt;&gt;1000,(($F26*$I$2)/VLOOKUP($B26,CODIGOS!$A:$F,6,0)),"")</f>
        <v/>
      </c>
      <c r="F26" s="210">
        <v>5</v>
      </c>
      <c r="G26" s="135">
        <f>(F26/1000)*VLOOKUP($B26,CODIGOS!$A:$G,7,0)</f>
        <v>5.0000000000000001E-3</v>
      </c>
      <c r="H26" s="24">
        <f>VLOOKUP($A26,CODIGOS!$B:$D,2,FALSE)</f>
        <v>5593</v>
      </c>
      <c r="I26" s="147">
        <f t="shared" si="6"/>
        <v>27.965</v>
      </c>
      <c r="J26" s="53">
        <f t="shared" si="7"/>
        <v>5593</v>
      </c>
      <c r="K26" s="131">
        <f>VLOOKUP($B26,CODIGOS!$A:$K,8,0)*$G26*1000</f>
        <v>5.8</v>
      </c>
      <c r="L26" s="132">
        <f>VLOOKUP($B26,CODIGOS!$A:$K,9,0)*$G26*1000</f>
        <v>6.9999999999999993E-2</v>
      </c>
      <c r="M26" s="132">
        <f>VLOOKUP($B26,CODIGOS!$A:$K,10,0)*$G26*1000</f>
        <v>0.81</v>
      </c>
      <c r="N26" s="133">
        <f>VLOOKUP($B26,CODIGOS!$A:$K,11,0)*$G26*1000</f>
        <v>6.5000000000000002E-2</v>
      </c>
      <c r="O26" s="22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7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7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7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7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7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7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7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7"/>
      <c r="EP26" s="17"/>
      <c r="EQ26" s="17"/>
      <c r="ER26" s="17"/>
      <c r="ES26" s="17"/>
      <c r="ET26" s="17"/>
      <c r="EU26" s="17"/>
      <c r="EV26" s="17"/>
      <c r="EW26" s="17"/>
      <c r="EX26" s="17"/>
      <c r="EY26" s="17"/>
    </row>
    <row r="27" spans="1:155" s="37" customFormat="1" ht="13.5" customHeight="1" x14ac:dyDescent="0.2">
      <c r="A27" s="248" t="s">
        <v>151</v>
      </c>
      <c r="B27" s="122" t="str">
        <f>VLOOKUP($A27,NSN!$A:$B,2,FALSE)</f>
        <v>V000148</v>
      </c>
      <c r="C27" s="123" t="str">
        <f>VLOOKUP($A27,CODIGOS!$B:$E,4,FALSE)</f>
        <v>NR 50 gr</v>
      </c>
      <c r="D27" s="124">
        <f t="shared" si="5"/>
        <v>2.5</v>
      </c>
      <c r="E27" s="124">
        <f>IF(VLOOKUP($B27,CODIGOS!$A:$F,6,0)&lt;&gt;1000,(($F27*$I$2)/VLOOKUP($B27,CODIGOS!$A:$F,6,0)),"")</f>
        <v>50</v>
      </c>
      <c r="F27" s="210">
        <v>12.5</v>
      </c>
      <c r="G27" s="135">
        <f>(F27/1000)*VLOOKUP($B27,CODIGOS!$A:$G,7,0)</f>
        <v>1.2500000000000001E-2</v>
      </c>
      <c r="H27" s="24">
        <f>VLOOKUP($A27,CODIGOS!$B:$D,2,FALSE)</f>
        <v>253</v>
      </c>
      <c r="I27" s="147">
        <f t="shared" si="6"/>
        <v>63.25</v>
      </c>
      <c r="J27" s="53">
        <f t="shared" si="7"/>
        <v>12650</v>
      </c>
      <c r="K27" s="131">
        <f>VLOOKUP($B27,CODIGOS!$A:$K,8,0)*$G27*1000</f>
        <v>20.000000000000004</v>
      </c>
      <c r="L27" s="132">
        <f>VLOOKUP($B27,CODIGOS!$A:$K,9,0)*$G27*1000</f>
        <v>1.6875000000000002</v>
      </c>
      <c r="M27" s="132">
        <f>VLOOKUP($B27,CODIGOS!$A:$K,10,0)*$G27*1000</f>
        <v>1.2500000000000002</v>
      </c>
      <c r="N27" s="133">
        <f>VLOOKUP($B27,CODIGOS!$A:$K,11,0)*$G27*1000</f>
        <v>0.05</v>
      </c>
      <c r="O27" s="22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7"/>
      <c r="AE27" s="17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17"/>
      <c r="CJ27" s="17"/>
      <c r="CK27" s="17"/>
      <c r="CL27" s="17"/>
      <c r="CM27" s="17"/>
      <c r="CN27" s="17"/>
      <c r="CO27" s="17"/>
      <c r="CP27" s="17"/>
      <c r="CQ27" s="17"/>
      <c r="CR27" s="17"/>
      <c r="CS27" s="17"/>
      <c r="CT27" s="17"/>
      <c r="CU27" s="17"/>
      <c r="CV27" s="17"/>
      <c r="CW27" s="17"/>
      <c r="CX27" s="17"/>
      <c r="CY27" s="17"/>
      <c r="CZ27" s="17"/>
      <c r="DA27" s="17"/>
      <c r="DB27" s="17"/>
      <c r="DC27" s="17"/>
      <c r="DD27" s="17"/>
      <c r="DE27" s="17"/>
      <c r="DF27" s="17"/>
      <c r="DG27" s="17"/>
      <c r="DH27" s="17"/>
      <c r="DI27" s="17"/>
      <c r="DJ27" s="17"/>
      <c r="DK27" s="17"/>
      <c r="DL27" s="17"/>
      <c r="DM27" s="17"/>
      <c r="DN27" s="17"/>
      <c r="DO27" s="17"/>
      <c r="DP27" s="17"/>
      <c r="DQ27" s="17"/>
      <c r="DR27" s="17"/>
      <c r="DS27" s="17"/>
      <c r="DT27" s="17"/>
      <c r="DU27" s="17"/>
      <c r="DV27" s="17"/>
      <c r="DW27" s="17"/>
      <c r="DX27" s="17"/>
      <c r="DY27" s="17"/>
      <c r="DZ27" s="17"/>
      <c r="EA27" s="17"/>
      <c r="EB27" s="17"/>
      <c r="EC27" s="17"/>
      <c r="ED27" s="17"/>
      <c r="EE27" s="17"/>
      <c r="EF27" s="17"/>
      <c r="EG27" s="17"/>
      <c r="EH27" s="17"/>
      <c r="EI27" s="17"/>
      <c r="EJ27" s="17"/>
      <c r="EK27" s="17"/>
      <c r="EL27" s="17"/>
      <c r="EM27" s="17"/>
      <c r="EN27" s="17"/>
      <c r="EO27" s="17"/>
      <c r="EP27" s="17"/>
      <c r="EQ27" s="17"/>
      <c r="ER27" s="17"/>
      <c r="ES27" s="17"/>
      <c r="ET27" s="17"/>
      <c r="EU27" s="17"/>
      <c r="EV27" s="17"/>
      <c r="EW27" s="17"/>
      <c r="EX27" s="17"/>
      <c r="EY27" s="17"/>
    </row>
    <row r="28" spans="1:155" s="37" customFormat="1" ht="13.5" customHeight="1" x14ac:dyDescent="0.2">
      <c r="A28" s="248" t="s">
        <v>147</v>
      </c>
      <c r="B28" s="122" t="str">
        <f>VLOOKUP($A28,NSN!$A:$B,2,FALSE)</f>
        <v>V000014</v>
      </c>
      <c r="C28" s="123" t="str">
        <f>VLOOKUP($A28,CODIGOS!$B:$E,4,FALSE)</f>
        <v>NR 35 g</v>
      </c>
      <c r="D28" s="124">
        <f t="shared" si="5"/>
        <v>0.1</v>
      </c>
      <c r="E28" s="124">
        <f>IF(VLOOKUP($B28,CODIGOS!$A:$F,6,0)&lt;&gt;1000,(($F28*$I$2)/VLOOKUP($B28,CODIGOS!$A:$F,6,0)),"")</f>
        <v>2.8571428571428572</v>
      </c>
      <c r="F28" s="201">
        <v>0.5</v>
      </c>
      <c r="G28" s="135">
        <f>(F28/1000)*VLOOKUP($B28,CODIGOS!$A:$G,7,0)</f>
        <v>5.0000000000000001E-4</v>
      </c>
      <c r="H28" s="24">
        <f>VLOOKUP($A28,CODIGOS!$B:$D,2,FALSE)</f>
        <v>297</v>
      </c>
      <c r="I28" s="147">
        <f t="shared" si="6"/>
        <v>4.2428571428571429</v>
      </c>
      <c r="J28" s="53">
        <f t="shared" si="7"/>
        <v>848.57142857142856</v>
      </c>
      <c r="K28" s="131">
        <f>VLOOKUP($B28,CODIGOS!$A:$K,8,0)*$G28*1000</f>
        <v>0.69499999999999995</v>
      </c>
      <c r="L28" s="132">
        <f>VLOOKUP($B28,CODIGOS!$A:$K,9,0)*$G28*1000</f>
        <v>3.3500000000000002E-2</v>
      </c>
      <c r="M28" s="132">
        <f>VLOOKUP($B28,CODIGOS!$A:$K,10,0)*$G28*1000</f>
        <v>2E-3</v>
      </c>
      <c r="N28" s="133">
        <f>VLOOKUP($B28,CODIGOS!$A:$K,11,0)*$G28*1000</f>
        <v>0.13600000000000004</v>
      </c>
      <c r="O28" s="22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7"/>
      <c r="AE28" s="17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17"/>
      <c r="CJ28" s="17"/>
      <c r="CK28" s="17"/>
      <c r="CL28" s="17"/>
      <c r="CM28" s="17"/>
      <c r="CN28" s="17"/>
      <c r="CO28" s="17"/>
      <c r="CP28" s="17"/>
      <c r="CQ28" s="17"/>
      <c r="CR28" s="17"/>
      <c r="CS28" s="17"/>
      <c r="CT28" s="17"/>
      <c r="CU28" s="17"/>
      <c r="CV28" s="17"/>
      <c r="CW28" s="17"/>
      <c r="CX28" s="17"/>
      <c r="CY28" s="17"/>
      <c r="CZ28" s="17"/>
      <c r="DA28" s="17"/>
      <c r="DB28" s="17"/>
      <c r="DC28" s="17"/>
      <c r="DD28" s="17"/>
      <c r="DE28" s="17"/>
      <c r="DF28" s="17"/>
      <c r="DG28" s="17"/>
      <c r="DH28" s="17"/>
      <c r="DI28" s="17"/>
      <c r="DJ28" s="17"/>
      <c r="DK28" s="17"/>
      <c r="DL28" s="17"/>
      <c r="DM28" s="17"/>
      <c r="DN28" s="17"/>
      <c r="DO28" s="17"/>
      <c r="DP28" s="17"/>
      <c r="DQ28" s="17"/>
      <c r="DR28" s="17"/>
      <c r="DS28" s="17"/>
      <c r="DT28" s="17"/>
      <c r="DU28" s="17"/>
      <c r="DV28" s="17"/>
      <c r="DW28" s="17"/>
      <c r="DX28" s="17"/>
      <c r="DY28" s="17"/>
      <c r="DZ28" s="17"/>
      <c r="EA28" s="17"/>
      <c r="EB28" s="17"/>
      <c r="EC28" s="17"/>
      <c r="ED28" s="17"/>
      <c r="EE28" s="17"/>
      <c r="EF28" s="17"/>
      <c r="EG28" s="17"/>
      <c r="EH28" s="17"/>
      <c r="EI28" s="17"/>
      <c r="EJ28" s="17"/>
      <c r="EK28" s="17"/>
      <c r="EL28" s="17"/>
      <c r="EM28" s="17"/>
      <c r="EN28" s="17"/>
      <c r="EO28" s="17"/>
      <c r="EP28" s="17"/>
      <c r="EQ28" s="17"/>
      <c r="ER28" s="17"/>
      <c r="ES28" s="17"/>
      <c r="ET28" s="17"/>
      <c r="EU28" s="17"/>
      <c r="EV28" s="17"/>
      <c r="EW28" s="17"/>
      <c r="EX28" s="17"/>
      <c r="EY28" s="17"/>
    </row>
    <row r="29" spans="1:155" s="37" customFormat="1" ht="13.5" customHeight="1" x14ac:dyDescent="0.2">
      <c r="A29" s="248" t="s">
        <v>56</v>
      </c>
      <c r="B29" s="122" t="str">
        <f>VLOOKUP($A29,NSN!$A:$B,2,FALSE)</f>
        <v>C000249</v>
      </c>
      <c r="C29" s="123" t="str">
        <f>VLOOKUP($A29,CODIGOS!$B:$E,4,FALSE)</f>
        <v>KG</v>
      </c>
      <c r="D29" s="124">
        <f t="shared" si="5"/>
        <v>16</v>
      </c>
      <c r="E29" s="124" t="str">
        <f>IF(VLOOKUP($B29,CODIGOS!$A:$F,6,0)&lt;&gt;1000,(($F29*$I$2)/VLOOKUP($B29,CODIGOS!$A:$F,6,0)),"")</f>
        <v/>
      </c>
      <c r="F29" s="210">
        <v>80</v>
      </c>
      <c r="G29" s="135">
        <f>(F29/1000)*VLOOKUP($B29,CODIGOS!$A:$G,7,0)</f>
        <v>7.1279999999999996E-2</v>
      </c>
      <c r="H29" s="24">
        <f>VLOOKUP($A29,CODIGOS!$B:$D,2,FALSE)</f>
        <v>640</v>
      </c>
      <c r="I29" s="147">
        <f t="shared" si="6"/>
        <v>51.2</v>
      </c>
      <c r="J29" s="53">
        <f t="shared" si="7"/>
        <v>10240</v>
      </c>
      <c r="K29" s="131">
        <f>VLOOKUP($B29,CODIGOS!$A:$K,8,0)*$G29*1000</f>
        <v>30.650399999999998</v>
      </c>
      <c r="L29" s="132">
        <f>VLOOKUP($B29,CODIGOS!$A:$K,9,0)*$G29*1000</f>
        <v>0.57023999999999997</v>
      </c>
      <c r="M29" s="132">
        <f>VLOOKUP($B29,CODIGOS!$A:$K,10,0)*$G29*1000</f>
        <v>0.14255999999999999</v>
      </c>
      <c r="N29" s="133">
        <f>VLOOKUP($B29,CODIGOS!$A:$K,11,0)*$G29*1000</f>
        <v>6.8428800000000001</v>
      </c>
      <c r="O29" s="22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17"/>
      <c r="CJ29" s="17"/>
      <c r="CK29" s="17"/>
      <c r="CL29" s="17"/>
      <c r="CM29" s="17"/>
      <c r="CN29" s="17"/>
      <c r="CO29" s="17"/>
      <c r="CP29" s="17"/>
      <c r="CQ29" s="17"/>
      <c r="CR29" s="17"/>
      <c r="CS29" s="17"/>
      <c r="CT29" s="17"/>
      <c r="CU29" s="17"/>
      <c r="CV29" s="17"/>
      <c r="CW29" s="17"/>
      <c r="CX29" s="17"/>
      <c r="CY29" s="17"/>
      <c r="CZ29" s="17"/>
      <c r="DA29" s="17"/>
      <c r="DB29" s="17"/>
      <c r="DC29" s="17"/>
      <c r="DD29" s="17"/>
      <c r="DE29" s="17"/>
      <c r="DF29" s="17"/>
      <c r="DG29" s="17"/>
      <c r="DH29" s="17"/>
      <c r="DI29" s="17"/>
      <c r="DJ29" s="17"/>
      <c r="DK29" s="17"/>
      <c r="DL29" s="17"/>
      <c r="DM29" s="17"/>
      <c r="DN29" s="17"/>
      <c r="DO29" s="17"/>
      <c r="DP29" s="17"/>
      <c r="DQ29" s="17"/>
      <c r="DR29" s="17"/>
      <c r="DS29" s="17"/>
      <c r="DT29" s="17"/>
      <c r="DU29" s="17"/>
      <c r="DV29" s="17"/>
      <c r="DW29" s="17"/>
      <c r="DX29" s="17"/>
      <c r="DY29" s="17"/>
      <c r="DZ29" s="17"/>
      <c r="EA29" s="17"/>
      <c r="EB29" s="17"/>
      <c r="EC29" s="17"/>
      <c r="ED29" s="17"/>
      <c r="EE29" s="17"/>
      <c r="EF29" s="17"/>
      <c r="EG29" s="17"/>
      <c r="EH29" s="17"/>
      <c r="EI29" s="17"/>
      <c r="EJ29" s="17"/>
      <c r="EK29" s="17"/>
      <c r="EL29" s="17"/>
      <c r="EM29" s="17"/>
      <c r="EN29" s="17"/>
      <c r="EO29" s="17"/>
      <c r="EP29" s="17"/>
      <c r="EQ29" s="17"/>
      <c r="ER29" s="17"/>
      <c r="ES29" s="17"/>
      <c r="ET29" s="17"/>
      <c r="EU29" s="17"/>
      <c r="EV29" s="17"/>
      <c r="EW29" s="17"/>
      <c r="EX29" s="17"/>
      <c r="EY29" s="17"/>
    </row>
    <row r="30" spans="1:155" s="37" customFormat="1" ht="13.5" customHeight="1" x14ac:dyDescent="0.2">
      <c r="A30" s="248" t="s">
        <v>429</v>
      </c>
      <c r="B30" s="122" t="str">
        <f>VLOOKUP($A30,NSN!$A:$B,2,FALSE)</f>
        <v>C902472</v>
      </c>
      <c r="C30" s="123" t="str">
        <f>VLOOKUP($A30,CODIGOS!$B:$E,4,FALSE)</f>
        <v>KG</v>
      </c>
      <c r="D30" s="124">
        <f t="shared" si="5"/>
        <v>12</v>
      </c>
      <c r="E30" s="124" t="str">
        <f>IF(VLOOKUP($B30,CODIGOS!$A:$F,6,0)&lt;&gt;1000,(($F30*$I$2)/VLOOKUP($B30,CODIGOS!$A:$F,6,0)),"")</f>
        <v/>
      </c>
      <c r="F30" s="210">
        <v>60</v>
      </c>
      <c r="G30" s="135">
        <f>(F30/1000)*VLOOKUP($B30,CODIGOS!$A:$G,7,0)</f>
        <v>3.8879999999999998E-2</v>
      </c>
      <c r="H30" s="24">
        <f>VLOOKUP($A30,CODIGOS!$B:$D,2,FALSE)</f>
        <v>4940</v>
      </c>
      <c r="I30" s="147">
        <f t="shared" si="6"/>
        <v>296.39999999999998</v>
      </c>
      <c r="J30" s="53">
        <f t="shared" si="7"/>
        <v>59280</v>
      </c>
      <c r="K30" s="131">
        <f>VLOOKUP($B30,CODIGOS!$A:$K,8,0)*$G30*1000</f>
        <v>50.543999999999997</v>
      </c>
      <c r="L30" s="132">
        <f>VLOOKUP($B30,CODIGOS!$A:$K,9,0)*$G30*1000</f>
        <v>8.3591999999999995</v>
      </c>
      <c r="M30" s="132">
        <f>VLOOKUP($B30,CODIGOS!$A:$K,10,0)*$G30*1000</f>
        <v>1.63296</v>
      </c>
      <c r="N30" s="133">
        <f>VLOOKUP($B30,CODIGOS!$A:$K,11,0)*$G30*1000</f>
        <v>1.6718399999999998</v>
      </c>
      <c r="O30" s="22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  <c r="AL30" s="17"/>
      <c r="AM30" s="17"/>
      <c r="AN30" s="17"/>
      <c r="AO30" s="17"/>
      <c r="AP30" s="17"/>
      <c r="AQ30" s="17"/>
      <c r="AR30" s="17"/>
      <c r="AS30" s="17"/>
      <c r="AT30" s="17"/>
      <c r="AU30" s="17"/>
      <c r="AV30" s="17"/>
      <c r="AW30" s="17"/>
      <c r="AX30" s="17"/>
      <c r="AY30" s="17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17"/>
      <c r="CJ30" s="17"/>
      <c r="CK30" s="17"/>
      <c r="CL30" s="17"/>
      <c r="CM30" s="17"/>
      <c r="CN30" s="17"/>
      <c r="CO30" s="17"/>
      <c r="CP30" s="17"/>
      <c r="CQ30" s="17"/>
      <c r="CR30" s="17"/>
      <c r="CS30" s="17"/>
      <c r="CT30" s="17"/>
      <c r="CU30" s="17"/>
      <c r="CV30" s="17"/>
      <c r="CW30" s="17"/>
      <c r="CX30" s="17"/>
      <c r="CY30" s="17"/>
      <c r="CZ30" s="17"/>
      <c r="DA30" s="17"/>
      <c r="DB30" s="17"/>
      <c r="DC30" s="17"/>
      <c r="DD30" s="17"/>
      <c r="DE30" s="17"/>
      <c r="DF30" s="17"/>
      <c r="DG30" s="17"/>
      <c r="DH30" s="17"/>
      <c r="DI30" s="17"/>
      <c r="DJ30" s="17"/>
      <c r="DK30" s="17"/>
      <c r="DL30" s="17"/>
      <c r="DM30" s="17"/>
    </row>
    <row r="31" spans="1:155" s="37" customFormat="1" ht="13.5" customHeight="1" x14ac:dyDescent="0.2">
      <c r="A31" s="248" t="s">
        <v>2028</v>
      </c>
      <c r="B31" s="122" t="str">
        <f>VLOOKUP($A31,NSN!$A:$B,2,FALSE)</f>
        <v>C902636</v>
      </c>
      <c r="C31" s="123" t="str">
        <f>VLOOKUP($A31,CODIGOS!$B:$E,4,FALSE)</f>
        <v>900 ML</v>
      </c>
      <c r="D31" s="124">
        <f t="shared" si="5"/>
        <v>1</v>
      </c>
      <c r="E31" s="124">
        <f>IF(VLOOKUP($B31,CODIGOS!$A:$F,6,0)&lt;&gt;1000,(($F31*$I$2)/VLOOKUP($B31,CODIGOS!$A:$F,6,0)),"")</f>
        <v>1.1111111111111112</v>
      </c>
      <c r="F31" s="210">
        <v>5</v>
      </c>
      <c r="G31" s="135">
        <f>(F31/1000)*VLOOKUP($B31,CODIGOS!$A:$G,7,0)</f>
        <v>5.0000000000000001E-3</v>
      </c>
      <c r="H31" s="24">
        <f>VLOOKUP($A31,CODIGOS!$B:$D,2,FALSE)</f>
        <v>1500</v>
      </c>
      <c r="I31" s="147">
        <f t="shared" si="6"/>
        <v>8.3333333333333339</v>
      </c>
      <c r="J31" s="53">
        <f t="shared" si="7"/>
        <v>1666.6666666666667</v>
      </c>
      <c r="K31" s="131">
        <f>VLOOKUP($B31,CODIGOS!$A:$K,8,0)*$G31*1000</f>
        <v>44.2</v>
      </c>
      <c r="L31" s="132">
        <f>VLOOKUP($B31,CODIGOS!$A:$K,9,0)*$G31*1000</f>
        <v>0</v>
      </c>
      <c r="M31" s="132">
        <f>VLOOKUP($B31,CODIGOS!$A:$K,10,0)*$G31*1000</f>
        <v>5</v>
      </c>
      <c r="N31" s="133">
        <f>VLOOKUP($B31,CODIGOS!$A:$K,11,0)*$G31*1000</f>
        <v>0</v>
      </c>
      <c r="O31" s="22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</row>
    <row r="32" spans="1:155" s="37" customFormat="1" ht="13.5" customHeight="1" x14ac:dyDescent="0.2">
      <c r="A32" s="248" t="s">
        <v>653</v>
      </c>
      <c r="B32" s="122" t="str">
        <f>VLOOKUP($A32,NSN!$A:$B,2,FALSE)</f>
        <v>C000528</v>
      </c>
      <c r="C32" s="123" t="str">
        <f>VLOOKUP($A32,CODIGOS!$B:$E,4,FALSE)</f>
        <v>KG</v>
      </c>
      <c r="D32" s="124">
        <f t="shared" si="5"/>
        <v>0.1</v>
      </c>
      <c r="E32" s="124" t="str">
        <f>IF(VLOOKUP($B32,CODIGOS!$A:$F,6,0)&lt;&gt;1000,(($F32*$I$2)/VLOOKUP($B32,CODIGOS!$A:$F,6,0)),"")</f>
        <v/>
      </c>
      <c r="F32" s="210">
        <v>0.5</v>
      </c>
      <c r="G32" s="135">
        <f>(F32/1000)*VLOOKUP($B32,CODIGOS!$A:$G,7,0)</f>
        <v>5.0000000000000001E-4</v>
      </c>
      <c r="H32" s="24">
        <f>VLOOKUP($A32,CODIGOS!$B:$D,2,FALSE)</f>
        <v>375</v>
      </c>
      <c r="I32" s="147">
        <f t="shared" si="6"/>
        <v>0.1875</v>
      </c>
      <c r="J32" s="53">
        <f t="shared" si="7"/>
        <v>37.5</v>
      </c>
      <c r="K32" s="131">
        <f>VLOOKUP($B32,CODIGOS!$A:$K,8,0)*$G32*1000</f>
        <v>0</v>
      </c>
      <c r="L32" s="132">
        <f>VLOOKUP($B32,CODIGOS!$A:$K,9,0)*$G32*1000</f>
        <v>0</v>
      </c>
      <c r="M32" s="132">
        <f>VLOOKUP($B32,CODIGOS!$A:$K,10,0)*$G32*1000</f>
        <v>0</v>
      </c>
      <c r="N32" s="133">
        <f>VLOOKUP($B32,CODIGOS!$A:$K,11,0)*$G32*1000</f>
        <v>0</v>
      </c>
      <c r="O32" s="32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7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7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7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7"/>
      <c r="DF32" s="17"/>
      <c r="DG32" s="17"/>
      <c r="DH32" s="17"/>
      <c r="DI32" s="17"/>
      <c r="DJ32" s="17"/>
      <c r="DK32" s="17"/>
      <c r="DL32" s="17"/>
      <c r="DM32" s="17"/>
    </row>
    <row r="33" spans="1:117" s="37" customFormat="1" ht="13.5" customHeight="1" x14ac:dyDescent="0.2">
      <c r="A33" s="248" t="s">
        <v>433</v>
      </c>
      <c r="B33" s="122" t="str">
        <f>VLOOKUP($A33,NSN!$A:$B,2,FALSE)</f>
        <v>C903359</v>
      </c>
      <c r="C33" s="123" t="str">
        <f>VLOOKUP($A33,CODIGOS!$B:$E,4,FALSE)</f>
        <v>KG</v>
      </c>
      <c r="D33" s="124">
        <f t="shared" si="5"/>
        <v>28</v>
      </c>
      <c r="E33" s="124" t="str">
        <f>IF(VLOOKUP($B33,CODIGOS!$A:$F,6,0)&lt;&gt;1000,(($F33*$I$2)/VLOOKUP($B33,CODIGOS!$A:$F,6,0)),"")</f>
        <v/>
      </c>
      <c r="F33" s="501">
        <v>140</v>
      </c>
      <c r="G33" s="135">
        <f>(F33/1000)*VLOOKUP($B33,CODIGOS!$A:$G,7,0)</f>
        <v>0.10052000000000001</v>
      </c>
      <c r="H33" s="24">
        <f>VLOOKUP($A33,CODIGOS!$B:$D,2,FALSE)</f>
        <v>5330</v>
      </c>
      <c r="I33" s="147">
        <f t="shared" si="6"/>
        <v>746.2</v>
      </c>
      <c r="J33" s="53">
        <f t="shared" si="7"/>
        <v>149240</v>
      </c>
      <c r="K33" s="131">
        <f>VLOOKUP($B33,CODIGOS!$A:$K,8,0)*$G33*1000</f>
        <v>123.63960000000002</v>
      </c>
      <c r="L33" s="132">
        <f>VLOOKUP($B33,CODIGOS!$A:$K,9,0)*$G33*1000</f>
        <v>21.511279999999999</v>
      </c>
      <c r="M33" s="132">
        <f>VLOOKUP($B33,CODIGOS!$A:$K,10,0)*$G33*1000</f>
        <v>3.1161200000000004</v>
      </c>
      <c r="N33" s="133">
        <f>VLOOKUP($B33,CODIGOS!$A:$K,11,0)*$G33*1000</f>
        <v>2.4124800000000004</v>
      </c>
      <c r="O33" s="22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  <c r="AN33" s="17"/>
      <c r="AO33" s="17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  <c r="CB33" s="17"/>
      <c r="CC33" s="17"/>
      <c r="CD33" s="17"/>
      <c r="CE33" s="17"/>
      <c r="CF33" s="17"/>
      <c r="CG33" s="17"/>
      <c r="CH33" s="17"/>
      <c r="CI33" s="17"/>
      <c r="CJ33" s="17"/>
      <c r="CK33" s="17"/>
      <c r="CL33" s="17"/>
      <c r="CM33" s="17"/>
      <c r="CN33" s="17"/>
      <c r="CO33" s="17"/>
      <c r="CP33" s="17"/>
      <c r="CQ33" s="17"/>
      <c r="CR33" s="17"/>
      <c r="CS33" s="17"/>
      <c r="CT33" s="17"/>
      <c r="CU33" s="17"/>
      <c r="CV33" s="17"/>
      <c r="CW33" s="17"/>
      <c r="CX33" s="17"/>
      <c r="CY33" s="17"/>
      <c r="CZ33" s="17"/>
      <c r="DA33" s="17"/>
      <c r="DB33" s="17"/>
      <c r="DC33" s="17"/>
      <c r="DD33" s="17"/>
      <c r="DE33" s="17"/>
      <c r="DF33" s="17"/>
      <c r="DG33" s="17"/>
      <c r="DH33" s="17"/>
      <c r="DI33" s="17"/>
      <c r="DJ33" s="17"/>
      <c r="DK33" s="17"/>
      <c r="DL33" s="17"/>
      <c r="DM33" s="17"/>
    </row>
    <row r="34" spans="1:117" s="37" customFormat="1" ht="13.5" customHeight="1" x14ac:dyDescent="0.2">
      <c r="A34" s="248" t="s">
        <v>624</v>
      </c>
      <c r="B34" s="122" t="str">
        <f>VLOOKUP($A34,NSN!$A:$B,2,FALSE)</f>
        <v>C000801</v>
      </c>
      <c r="C34" s="123" t="str">
        <f>VLOOKUP($A34,CODIGOS!$B:$E,4,FALSE)</f>
        <v>KG</v>
      </c>
      <c r="D34" s="124">
        <f t="shared" si="5"/>
        <v>20</v>
      </c>
      <c r="E34" s="124" t="str">
        <f>IF(VLOOKUP($B34,CODIGOS!$A:$F,6,0)&lt;&gt;1000,(($F34*$I$2)/VLOOKUP($B34,CODIGOS!$A:$F,6,0)),"")</f>
        <v/>
      </c>
      <c r="F34" s="210">
        <v>100</v>
      </c>
      <c r="G34" s="135">
        <f>(F34/1000)*VLOOKUP($B34,CODIGOS!$A:$G,7,0)</f>
        <v>7.8700000000000006E-2</v>
      </c>
      <c r="H34" s="24">
        <f>VLOOKUP($A34,CODIGOS!$B:$D,2,FALSE)</f>
        <v>674</v>
      </c>
      <c r="I34" s="147">
        <f t="shared" si="6"/>
        <v>67.400000000000006</v>
      </c>
      <c r="J34" s="53">
        <f t="shared" si="7"/>
        <v>13480</v>
      </c>
      <c r="K34" s="131">
        <f>VLOOKUP($B34,CODIGOS!$A:$K,8,0)*$G34*1000</f>
        <v>62.96</v>
      </c>
      <c r="L34" s="132">
        <f>VLOOKUP($B34,CODIGOS!$A:$K,9,0)*$G34*1000</f>
        <v>2.4397000000000002</v>
      </c>
      <c r="M34" s="132">
        <f>VLOOKUP($B34,CODIGOS!$A:$K,10,0)*$G34*1000</f>
        <v>0.15740000000000001</v>
      </c>
      <c r="N34" s="133">
        <f>VLOOKUP($B34,CODIGOS!$A:$K,11,0)*$G34*1000</f>
        <v>12.985500000000002</v>
      </c>
      <c r="O34" s="22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  <c r="AN34" s="17"/>
      <c r="AO34" s="17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  <c r="CB34" s="17"/>
      <c r="CC34" s="17"/>
      <c r="CD34" s="17"/>
      <c r="CE34" s="17"/>
      <c r="CF34" s="17"/>
      <c r="CG34" s="17"/>
      <c r="CH34" s="17"/>
      <c r="CI34" s="17"/>
      <c r="CJ34" s="17"/>
      <c r="CK34" s="17"/>
      <c r="CL34" s="17"/>
      <c r="CM34" s="17"/>
      <c r="CN34" s="17"/>
      <c r="CO34" s="17"/>
      <c r="CP34" s="17"/>
      <c r="CQ34" s="17"/>
      <c r="CR34" s="17"/>
      <c r="CS34" s="17"/>
      <c r="CT34" s="17"/>
      <c r="CU34" s="17"/>
      <c r="CV34" s="17"/>
      <c r="CW34" s="17"/>
      <c r="CX34" s="17"/>
      <c r="CY34" s="17"/>
      <c r="CZ34" s="17"/>
      <c r="DA34" s="17"/>
      <c r="DB34" s="17"/>
      <c r="DC34" s="17"/>
      <c r="DD34" s="17"/>
      <c r="DE34" s="17"/>
      <c r="DF34" s="17"/>
      <c r="DG34" s="17"/>
      <c r="DH34" s="17"/>
      <c r="DI34" s="17"/>
      <c r="DJ34" s="17"/>
      <c r="DK34" s="17"/>
      <c r="DL34" s="17"/>
      <c r="DM34" s="17"/>
    </row>
    <row r="35" spans="1:117" s="37" customFormat="1" ht="13.5" customHeight="1" x14ac:dyDescent="0.2">
      <c r="A35" s="248" t="s">
        <v>11</v>
      </c>
      <c r="B35" s="122" t="str">
        <f>VLOOKUP($A35,NSN!$A:$B,2,FALSE)</f>
        <v>C002832</v>
      </c>
      <c r="C35" s="123" t="str">
        <f>VLOOKUP($A35,CODIGOS!$B:$E,4,FALSE)</f>
        <v>KG</v>
      </c>
      <c r="D35" s="124">
        <f t="shared" si="5"/>
        <v>2</v>
      </c>
      <c r="E35" s="124" t="str">
        <f>IF(VLOOKUP($B35,CODIGOS!$A:$F,6,0)&lt;&gt;1000,(($F35*$I$2)/VLOOKUP($B35,CODIGOS!$A:$F,6,0)),"")</f>
        <v/>
      </c>
      <c r="F35" s="210">
        <v>10</v>
      </c>
      <c r="G35" s="135">
        <f>(F35/1000)*VLOOKUP($B35,CODIGOS!$A:$G,7,0)</f>
        <v>0.01</v>
      </c>
      <c r="H35" s="24">
        <f>VLOOKUP($A35,CODIGOS!$B:$D,2,FALSE)</f>
        <v>1384</v>
      </c>
      <c r="I35" s="147">
        <f t="shared" si="6"/>
        <v>13.84</v>
      </c>
      <c r="J35" s="53">
        <f t="shared" si="7"/>
        <v>2768</v>
      </c>
      <c r="K35" s="131">
        <f>VLOOKUP($B35,CODIGOS!$A:$K,8,0)*$G35*1000</f>
        <v>35.200000000000003</v>
      </c>
      <c r="L35" s="132">
        <f>VLOOKUP($B35,CODIGOS!$A:$K,9,0)*$G35*1000</f>
        <v>0.64</v>
      </c>
      <c r="M35" s="132">
        <f>VLOOKUP($B35,CODIGOS!$A:$K,10,0)*$G35*1000</f>
        <v>0.08</v>
      </c>
      <c r="N35" s="133">
        <f>VLOOKUP($B35,CODIGOS!$A:$K,11,0)*$G35*1000</f>
        <v>7.9700000000000015</v>
      </c>
      <c r="O35" s="22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17"/>
      <c r="CJ35" s="17"/>
      <c r="CK35" s="17"/>
      <c r="CL35" s="17"/>
      <c r="CM35" s="17"/>
      <c r="CN35" s="17"/>
      <c r="CO35" s="17"/>
      <c r="CP35" s="17"/>
      <c r="CQ35" s="17"/>
      <c r="CR35" s="17"/>
      <c r="CS35" s="17"/>
      <c r="CT35" s="17"/>
      <c r="CU35" s="17"/>
      <c r="CV35" s="17"/>
      <c r="CW35" s="17"/>
      <c r="CX35" s="17"/>
      <c r="CY35" s="17"/>
      <c r="CZ35" s="17"/>
      <c r="DA35" s="17"/>
      <c r="DB35" s="17"/>
      <c r="DC35" s="17"/>
      <c r="DD35" s="17"/>
      <c r="DE35" s="17"/>
      <c r="DF35" s="17"/>
      <c r="DG35" s="17"/>
      <c r="DH35" s="17"/>
      <c r="DI35" s="17"/>
      <c r="DJ35" s="17"/>
      <c r="DK35" s="17"/>
      <c r="DL35" s="17"/>
      <c r="DM35" s="17"/>
    </row>
    <row r="36" spans="1:117" s="37" customFormat="1" ht="13.5" customHeight="1" x14ac:dyDescent="0.2">
      <c r="A36" s="248" t="s">
        <v>56</v>
      </c>
      <c r="B36" s="122" t="str">
        <f>VLOOKUP($A36,NSN!$A:$B,2,FALSE)</f>
        <v>C000249</v>
      </c>
      <c r="C36" s="123" t="str">
        <f>VLOOKUP($A36,CODIGOS!$B:$E,4,FALSE)</f>
        <v>KG</v>
      </c>
      <c r="D36" s="124">
        <f t="shared" si="5"/>
        <v>4</v>
      </c>
      <c r="E36" s="124" t="str">
        <f>IF(VLOOKUP($B36,CODIGOS!$A:$F,6,0)&lt;&gt;1000,(($F36*$I$2)/VLOOKUP($B36,CODIGOS!$A:$F,6,0)),"")</f>
        <v/>
      </c>
      <c r="F36" s="210">
        <v>20</v>
      </c>
      <c r="G36" s="135">
        <f>(F36/1000)*VLOOKUP($B36,CODIGOS!$A:$G,7,0)</f>
        <v>1.7819999999999999E-2</v>
      </c>
      <c r="H36" s="24">
        <f>VLOOKUP($A36,CODIGOS!$B:$D,2,FALSE)</f>
        <v>640</v>
      </c>
      <c r="I36" s="147">
        <f t="shared" si="6"/>
        <v>12.8</v>
      </c>
      <c r="J36" s="53">
        <f t="shared" si="7"/>
        <v>2560</v>
      </c>
      <c r="K36" s="131">
        <f>VLOOKUP($B36,CODIGOS!$A:$K,8,0)*$G36*1000</f>
        <v>7.6625999999999994</v>
      </c>
      <c r="L36" s="132">
        <f>VLOOKUP($B36,CODIGOS!$A:$K,9,0)*$G36*1000</f>
        <v>0.14255999999999999</v>
      </c>
      <c r="M36" s="132">
        <f>VLOOKUP($B36,CODIGOS!$A:$K,10,0)*$G36*1000</f>
        <v>3.5639999999999998E-2</v>
      </c>
      <c r="N36" s="133">
        <f>VLOOKUP($B36,CODIGOS!$A:$K,11,0)*$G36*1000</f>
        <v>1.71072</v>
      </c>
      <c r="O36" s="22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17"/>
      <c r="CJ36" s="17"/>
      <c r="CK36" s="17"/>
      <c r="CL36" s="17"/>
      <c r="CM36" s="17"/>
      <c r="CN36" s="17"/>
      <c r="CO36" s="17"/>
      <c r="CP36" s="17"/>
      <c r="CQ36" s="17"/>
      <c r="CR36" s="17"/>
      <c r="CS36" s="17"/>
      <c r="CT36" s="17"/>
      <c r="CU36" s="17"/>
      <c r="CV36" s="17"/>
      <c r="CW36" s="17"/>
      <c r="CX36" s="17"/>
      <c r="CY36" s="17"/>
      <c r="CZ36" s="17"/>
      <c r="DA36" s="17"/>
      <c r="DB36" s="17"/>
      <c r="DC36" s="17"/>
      <c r="DD36" s="17"/>
      <c r="DE36" s="17"/>
      <c r="DF36" s="17"/>
      <c r="DG36" s="17"/>
      <c r="DH36" s="17"/>
      <c r="DI36" s="17"/>
      <c r="DJ36" s="17"/>
      <c r="DK36" s="17"/>
      <c r="DL36" s="17"/>
      <c r="DM36" s="17"/>
    </row>
    <row r="37" spans="1:117" s="37" customFormat="1" x14ac:dyDescent="0.2">
      <c r="A37" s="248" t="s">
        <v>199</v>
      </c>
      <c r="B37" s="122" t="str">
        <f>VLOOKUP($A37,NSN!$A:$B,2,FALSE)</f>
        <v>V000330</v>
      </c>
      <c r="C37" s="123" t="str">
        <f>VLOOKUP($A37,CODIGOS!$B:$E,4,FALSE)</f>
        <v>KG</v>
      </c>
      <c r="D37" s="124">
        <f t="shared" si="5"/>
        <v>4</v>
      </c>
      <c r="E37" s="124" t="str">
        <f>IF(VLOOKUP($B37,CODIGOS!$A:$F,6,0)&lt;&gt;1000,(($F37*$I$2)/VLOOKUP($B37,CODIGOS!$A:$F,6,0)),"")</f>
        <v/>
      </c>
      <c r="F37" s="210">
        <v>20</v>
      </c>
      <c r="G37" s="135">
        <f>(F37/1000)*VLOOKUP($B37,CODIGOS!$A:$G,7,0)</f>
        <v>1.804E-2</v>
      </c>
      <c r="H37" s="24">
        <f>VLOOKUP($A37,CODIGOS!$B:$D,2,FALSE)</f>
        <v>1287</v>
      </c>
      <c r="I37" s="147">
        <f t="shared" si="6"/>
        <v>25.74</v>
      </c>
      <c r="J37" s="53">
        <f t="shared" si="7"/>
        <v>5148</v>
      </c>
      <c r="K37" s="131">
        <f>VLOOKUP($B37,CODIGOS!$A:$K,8,0)*$G37*1000</f>
        <v>15.5144</v>
      </c>
      <c r="L37" s="132">
        <f>VLOOKUP($B37,CODIGOS!$A:$K,9,0)*$G37*1000</f>
        <v>0.16236</v>
      </c>
      <c r="M37" s="132">
        <f>VLOOKUP($B37,CODIGOS!$A:$K,10,0)*$G37*1000</f>
        <v>9.0200000000000016E-2</v>
      </c>
      <c r="N37" s="133">
        <f>VLOOKUP($B37,CODIGOS!$A:$K,11,0)*$G37*1000</f>
        <v>1.4612400000000001</v>
      </c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17"/>
      <c r="CJ37" s="17"/>
      <c r="CK37" s="17"/>
      <c r="CL37" s="17"/>
      <c r="CM37" s="17"/>
      <c r="CN37" s="17"/>
      <c r="CO37" s="17"/>
      <c r="CP37" s="17"/>
      <c r="CQ37" s="17"/>
      <c r="CR37" s="17"/>
      <c r="CS37" s="17"/>
      <c r="CT37" s="17"/>
      <c r="CU37" s="17"/>
      <c r="CV37" s="17"/>
      <c r="CW37" s="17"/>
      <c r="CX37" s="17"/>
      <c r="CY37" s="17"/>
      <c r="CZ37" s="17"/>
      <c r="DA37" s="17"/>
      <c r="DB37" s="17"/>
      <c r="DC37" s="17"/>
      <c r="DD37" s="17"/>
      <c r="DE37" s="17"/>
      <c r="DF37" s="17"/>
      <c r="DG37" s="17"/>
      <c r="DH37" s="17"/>
      <c r="DI37" s="17"/>
      <c r="DJ37" s="17"/>
      <c r="DK37" s="17"/>
      <c r="DL37" s="17"/>
      <c r="DM37" s="17"/>
    </row>
    <row r="38" spans="1:117" s="37" customFormat="1" x14ac:dyDescent="0.2">
      <c r="A38" s="248" t="s">
        <v>423</v>
      </c>
      <c r="B38" s="122" t="str">
        <f>VLOOKUP($A38,NSN!$A:$B,2,FALSE)</f>
        <v>C902685</v>
      </c>
      <c r="C38" s="123" t="str">
        <f>VLOOKUP($A38,CODIGOS!$B:$E,4,FALSE)</f>
        <v>KG</v>
      </c>
      <c r="D38" s="124">
        <f t="shared" si="5"/>
        <v>2</v>
      </c>
      <c r="E38" s="124" t="str">
        <f>IF(VLOOKUP($B38,CODIGOS!$A:$F,6,0)&lt;&gt;1000,(($F38*$I$2)/VLOOKUP($B38,CODIGOS!$A:$F,6,0)),"")</f>
        <v/>
      </c>
      <c r="F38" s="210">
        <v>10</v>
      </c>
      <c r="G38" s="135">
        <f>(F38/1000)*VLOOKUP($B38,CODIGOS!$A:$G,7,0)</f>
        <v>0.01</v>
      </c>
      <c r="H38" s="24">
        <f>VLOOKUP($A38,CODIGOS!$B:$D,2,FALSE)</f>
        <v>1858</v>
      </c>
      <c r="I38" s="147">
        <f t="shared" si="6"/>
        <v>18.579999999999998</v>
      </c>
      <c r="J38" s="53">
        <f t="shared" si="7"/>
        <v>3716</v>
      </c>
      <c r="K38" s="131">
        <f>VLOOKUP($B38,CODIGOS!$A:$K,8,0)*$G38*1000</f>
        <v>9.1</v>
      </c>
      <c r="L38" s="132">
        <f>VLOOKUP($B38,CODIGOS!$A:$K,9,0)*$G38*1000</f>
        <v>0.32899999999999996</v>
      </c>
      <c r="M38" s="132">
        <f>VLOOKUP($B38,CODIGOS!$A:$K,10,0)*$G38*1000</f>
        <v>3.4999999999999996E-2</v>
      </c>
      <c r="N38" s="133">
        <f>VLOOKUP($B38,CODIGOS!$A:$K,11,0)*$G38*1000</f>
        <v>1.2230000000000001</v>
      </c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17"/>
      <c r="AK38" s="17"/>
      <c r="AL38" s="17"/>
      <c r="AM38" s="17"/>
      <c r="AN38" s="17"/>
      <c r="AO38" s="17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17"/>
      <c r="CJ38" s="17"/>
      <c r="CK38" s="17"/>
      <c r="CL38" s="17"/>
      <c r="CM38" s="17"/>
      <c r="CN38" s="17"/>
      <c r="CO38" s="17"/>
      <c r="CP38" s="17"/>
      <c r="CQ38" s="17"/>
      <c r="CR38" s="17"/>
      <c r="CS38" s="17"/>
      <c r="CT38" s="17"/>
      <c r="CU38" s="17"/>
      <c r="CV38" s="17"/>
      <c r="CW38" s="17"/>
      <c r="CX38" s="17"/>
      <c r="CY38" s="17"/>
      <c r="CZ38" s="17"/>
      <c r="DA38" s="17"/>
      <c r="DB38" s="17"/>
      <c r="DC38" s="17"/>
      <c r="DD38" s="17"/>
      <c r="DE38" s="17"/>
      <c r="DF38" s="17"/>
      <c r="DG38" s="17"/>
      <c r="DH38" s="17"/>
      <c r="DI38" s="17"/>
      <c r="DJ38" s="17"/>
      <c r="DK38" s="17"/>
      <c r="DL38" s="17"/>
      <c r="DM38" s="17"/>
    </row>
    <row r="39" spans="1:117" s="37" customFormat="1" x14ac:dyDescent="0.2">
      <c r="A39" s="248" t="s">
        <v>16</v>
      </c>
      <c r="B39" s="122" t="str">
        <f>VLOOKUP($A39,NSN!$A:$B,2,FALSE)</f>
        <v>V000332</v>
      </c>
      <c r="C39" s="123" t="str">
        <f>VLOOKUP($A39,CODIGOS!$B:$E,4,FALSE)</f>
        <v>KG</v>
      </c>
      <c r="D39" s="124">
        <f t="shared" si="5"/>
        <v>10</v>
      </c>
      <c r="E39" s="124" t="str">
        <f>IF(VLOOKUP($B39,CODIGOS!$A:$F,6,0)&lt;&gt;1000,(($F39*$I$2)/VLOOKUP($B39,CODIGOS!$A:$F,6,0)),"")</f>
        <v/>
      </c>
      <c r="F39" s="210">
        <v>50</v>
      </c>
      <c r="G39" s="135">
        <f>(F39/1000)*VLOOKUP($B39,CODIGOS!$A:$G,7,0)</f>
        <v>4.6850000000000003E-2</v>
      </c>
      <c r="H39" s="24">
        <f>VLOOKUP($A39,CODIGOS!$B:$D,2,FALSE)</f>
        <v>1456</v>
      </c>
      <c r="I39" s="147">
        <f t="shared" si="6"/>
        <v>72.8</v>
      </c>
      <c r="J39" s="53">
        <f t="shared" si="7"/>
        <v>14560</v>
      </c>
      <c r="K39" s="131">
        <f>VLOOKUP($B39,CODIGOS!$A:$K,8,0)*$G39*1000</f>
        <v>15.929000000000002</v>
      </c>
      <c r="L39" s="132">
        <f>VLOOKUP($B39,CODIGOS!$A:$K,9,0)*$G39*1000</f>
        <v>9.3700000000000006E-2</v>
      </c>
      <c r="M39" s="132">
        <f>VLOOKUP($B39,CODIGOS!$A:$K,10,0)*$G39*1000</f>
        <v>0.28110000000000002</v>
      </c>
      <c r="N39" s="133">
        <f>VLOOKUP($B39,CODIGOS!$A:$K,11,0)*$G39*1000</f>
        <v>3.2795000000000001</v>
      </c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17"/>
      <c r="AK39" s="17"/>
      <c r="AL39" s="17"/>
      <c r="AM39" s="17"/>
      <c r="AN39" s="17"/>
      <c r="AO39" s="17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17"/>
      <c r="CJ39" s="17"/>
      <c r="CK39" s="17"/>
      <c r="CL39" s="17"/>
      <c r="CM39" s="17"/>
      <c r="CN39" s="17"/>
      <c r="CO39" s="17"/>
      <c r="CP39" s="17"/>
      <c r="CQ39" s="17"/>
      <c r="CR39" s="17"/>
      <c r="CS39" s="17"/>
      <c r="CT39" s="17"/>
      <c r="CU39" s="17"/>
      <c r="CV39" s="17"/>
      <c r="CW39" s="17"/>
      <c r="CX39" s="17"/>
      <c r="CY39" s="17"/>
      <c r="CZ39" s="17"/>
      <c r="DA39" s="17"/>
      <c r="DB39" s="17"/>
      <c r="DC39" s="17"/>
      <c r="DD39" s="17"/>
      <c r="DE39" s="17"/>
      <c r="DF39" s="17"/>
      <c r="DG39" s="17"/>
      <c r="DH39" s="17"/>
      <c r="DI39" s="17"/>
      <c r="DJ39" s="17"/>
      <c r="DK39" s="17"/>
      <c r="DL39" s="17"/>
      <c r="DM39" s="17"/>
    </row>
    <row r="40" spans="1:117" s="37" customFormat="1" x14ac:dyDescent="0.2">
      <c r="A40" s="248" t="s">
        <v>653</v>
      </c>
      <c r="B40" s="122" t="str">
        <f>VLOOKUP($A40,NSN!$A:$B,2,FALSE)</f>
        <v>C000528</v>
      </c>
      <c r="C40" s="123" t="str">
        <f>VLOOKUP($A40,CODIGOS!$B:$E,4,FALSE)</f>
        <v>KG</v>
      </c>
      <c r="D40" s="124">
        <f t="shared" si="5"/>
        <v>0.1</v>
      </c>
      <c r="E40" s="124" t="str">
        <f>IF(VLOOKUP($B40,CODIGOS!$A:$F,6,0)&lt;&gt;1000,(($F40*$I$2)/VLOOKUP($B40,CODIGOS!$A:$F,6,0)),"")</f>
        <v/>
      </c>
      <c r="F40" s="210">
        <v>0.5</v>
      </c>
      <c r="G40" s="135">
        <f>(F40/1000)*VLOOKUP($B40,CODIGOS!$A:$G,7,0)</f>
        <v>5.0000000000000001E-4</v>
      </c>
      <c r="H40" s="24">
        <f>VLOOKUP($A40,CODIGOS!$B:$D,2,FALSE)</f>
        <v>375</v>
      </c>
      <c r="I40" s="147">
        <f t="shared" si="6"/>
        <v>0.1875</v>
      </c>
      <c r="J40" s="53">
        <f t="shared" si="7"/>
        <v>37.5</v>
      </c>
      <c r="K40" s="131">
        <f>VLOOKUP($B40,CODIGOS!$A:$K,8,0)*$G40*1000</f>
        <v>0</v>
      </c>
      <c r="L40" s="132">
        <f>VLOOKUP($B40,CODIGOS!$A:$K,9,0)*$G40*1000</f>
        <v>0</v>
      </c>
      <c r="M40" s="132">
        <f>VLOOKUP($B40,CODIGOS!$A:$K,10,0)*$G40*1000</f>
        <v>0</v>
      </c>
      <c r="N40" s="133">
        <f>VLOOKUP($B40,CODIGOS!$A:$K,11,0)*$G40*1000</f>
        <v>0</v>
      </c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17"/>
      <c r="AK40" s="17"/>
      <c r="AL40" s="17"/>
      <c r="AM40" s="17"/>
      <c r="AN40" s="17"/>
      <c r="AO40" s="17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17"/>
      <c r="CJ40" s="17"/>
      <c r="CK40" s="17"/>
      <c r="CL40" s="17"/>
      <c r="CM40" s="17"/>
      <c r="CN40" s="17"/>
      <c r="CO40" s="17"/>
      <c r="CP40" s="17"/>
      <c r="CQ40" s="17"/>
      <c r="CR40" s="17"/>
      <c r="CS40" s="17"/>
      <c r="CT40" s="17"/>
      <c r="CU40" s="17"/>
      <c r="CV40" s="17"/>
      <c r="CW40" s="17"/>
      <c r="CX40" s="17"/>
      <c r="CY40" s="17"/>
      <c r="CZ40" s="17"/>
      <c r="DA40" s="17"/>
      <c r="DB40" s="17"/>
      <c r="DC40" s="17"/>
      <c r="DD40" s="17"/>
      <c r="DE40" s="17"/>
      <c r="DF40" s="17"/>
      <c r="DG40" s="17"/>
      <c r="DH40" s="17"/>
      <c r="DI40" s="17"/>
      <c r="DJ40" s="17"/>
      <c r="DK40" s="17"/>
      <c r="DL40" s="17"/>
      <c r="DM40" s="17"/>
    </row>
    <row r="41" spans="1:117" s="37" customFormat="1" x14ac:dyDescent="0.2">
      <c r="A41" s="248" t="s">
        <v>394</v>
      </c>
      <c r="B41" s="122" t="str">
        <f>VLOOKUP($A41,NSN!$A:$B,2,FALSE)</f>
        <v>C000816</v>
      </c>
      <c r="C41" s="123" t="str">
        <f>VLOOKUP($A41,CODIGOS!$B:$E,4,FALSE)</f>
        <v>KG</v>
      </c>
      <c r="D41" s="124">
        <f t="shared" si="5"/>
        <v>2</v>
      </c>
      <c r="E41" s="124" t="str">
        <f>IF(VLOOKUP($B41,CODIGOS!$A:$F,6,0)&lt;&gt;1000,(($F41*$I$2)/VLOOKUP($B41,CODIGOS!$A:$F,6,0)),"")</f>
        <v/>
      </c>
      <c r="F41" s="501">
        <v>10</v>
      </c>
      <c r="G41" s="135">
        <f>(F41/1000)*VLOOKUP($B41,CODIGOS!$A:$G,7,0)</f>
        <v>0.01</v>
      </c>
      <c r="H41" s="24">
        <f>VLOOKUP($A41,CODIGOS!$B:$D,2,FALSE)</f>
        <v>1128</v>
      </c>
      <c r="I41" s="147">
        <f t="shared" si="6"/>
        <v>11.28</v>
      </c>
      <c r="J41" s="53">
        <f t="shared" si="7"/>
        <v>2256</v>
      </c>
      <c r="K41" s="131">
        <f>VLOOKUP($B41,CODIGOS!$A:$K,8,0)*$G41*1000</f>
        <v>39.800000000000004</v>
      </c>
      <c r="L41" s="132">
        <f>VLOOKUP($B41,CODIGOS!$A:$K,9,0)*$G41*1000</f>
        <v>0</v>
      </c>
      <c r="M41" s="132">
        <f>VLOOKUP($B41,CODIGOS!$A:$K,10,0)*$G41*1000</f>
        <v>0</v>
      </c>
      <c r="N41" s="133">
        <f>VLOOKUP($B41,CODIGOS!$A:$K,11,0)*$G41*1000</f>
        <v>9.9500000000000011</v>
      </c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7"/>
      <c r="AA41" s="17"/>
      <c r="AB41" s="17"/>
      <c r="AC41" s="17"/>
      <c r="AD41" s="17"/>
      <c r="AE41" s="17"/>
      <c r="AF41" s="17"/>
      <c r="AG41" s="17"/>
      <c r="AH41" s="17"/>
      <c r="AI41" s="17"/>
      <c r="AJ41" s="17"/>
      <c r="AK41" s="17"/>
      <c r="AL41" s="17"/>
      <c r="AM41" s="17"/>
      <c r="AN41" s="17"/>
      <c r="AO41" s="17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  <c r="CB41" s="17"/>
      <c r="CC41" s="17"/>
      <c r="CD41" s="17"/>
      <c r="CE41" s="17"/>
      <c r="CF41" s="17"/>
      <c r="CG41" s="17"/>
      <c r="CH41" s="17"/>
      <c r="CI41" s="17"/>
      <c r="CJ41" s="17"/>
      <c r="CK41" s="17"/>
      <c r="CL41" s="17"/>
      <c r="CM41" s="17"/>
      <c r="CN41" s="17"/>
      <c r="CO41" s="17"/>
      <c r="CP41" s="17"/>
      <c r="CQ41" s="17"/>
      <c r="CR41" s="17"/>
      <c r="CS41" s="17"/>
      <c r="CT41" s="17"/>
      <c r="CU41" s="17"/>
      <c r="CV41" s="17"/>
      <c r="CW41" s="17"/>
      <c r="CX41" s="17"/>
      <c r="CY41" s="17"/>
      <c r="CZ41" s="17"/>
      <c r="DA41" s="17"/>
      <c r="DB41" s="17"/>
      <c r="DC41" s="17"/>
      <c r="DD41" s="17"/>
      <c r="DE41" s="17"/>
      <c r="DF41" s="17"/>
      <c r="DG41" s="17"/>
      <c r="DH41" s="17"/>
      <c r="DI41" s="17"/>
      <c r="DJ41" s="17"/>
      <c r="DK41" s="17"/>
      <c r="DL41" s="17"/>
      <c r="DM41" s="17"/>
    </row>
    <row r="42" spans="1:117" s="37" customFormat="1" x14ac:dyDescent="0.2">
      <c r="A42" s="248" t="s">
        <v>551</v>
      </c>
      <c r="B42" s="122" t="str">
        <f>VLOOKUP($A42,NSN!$A:$B,2,FALSE)</f>
        <v>V000147</v>
      </c>
      <c r="C42" s="123" t="str">
        <f>VLOOKUP($A42,CODIGOS!$B:$E,4,FALSE)</f>
        <v>KG</v>
      </c>
      <c r="D42" s="124">
        <f t="shared" si="5"/>
        <v>4</v>
      </c>
      <c r="E42" s="124" t="str">
        <f>IF(VLOOKUP($B42,CODIGOS!$A:$F,6,0)&lt;&gt;1000,(($F42*$I$2)/VLOOKUP($B42,CODIGOS!$A:$F,6,0)),"")</f>
        <v/>
      </c>
      <c r="F42" s="501">
        <v>20</v>
      </c>
      <c r="G42" s="135">
        <f>(F42/1000)*VLOOKUP($B42,CODIGOS!$A:$G,7,0)</f>
        <v>0.02</v>
      </c>
      <c r="H42" s="24">
        <f>VLOOKUP($A42,CODIGOS!$B:$D,2,FALSE)</f>
        <v>5709</v>
      </c>
      <c r="I42" s="147">
        <f t="shared" si="6"/>
        <v>114.18</v>
      </c>
      <c r="J42" s="53">
        <f t="shared" si="7"/>
        <v>22836</v>
      </c>
      <c r="K42" s="131">
        <f>VLOOKUP($B42,CODIGOS!$A:$K,8,0)*$G42*1000</f>
        <v>6.6000000000000005</v>
      </c>
      <c r="L42" s="132">
        <f>VLOOKUP($B42,CODIGOS!$A:$K,9,0)*$G42*1000</f>
        <v>0.08</v>
      </c>
      <c r="M42" s="132">
        <f>VLOOKUP($B42,CODIGOS!$A:$K,10,0)*$G42*1000</f>
        <v>0.22000000000000003</v>
      </c>
      <c r="N42" s="133">
        <f>VLOOKUP($B42,CODIGOS!$A:$K,11,0)*$G42*1000</f>
        <v>1.1000000000000001</v>
      </c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7"/>
      <c r="AE42" s="17"/>
      <c r="AF42" s="17"/>
      <c r="AG42" s="17"/>
      <c r="AH42" s="17"/>
      <c r="AI42" s="17"/>
      <c r="AJ42" s="17"/>
      <c r="AK42" s="17"/>
      <c r="AL42" s="17"/>
      <c r="AM42" s="17"/>
      <c r="AN42" s="17"/>
      <c r="AO42" s="17"/>
      <c r="AP42" s="17"/>
      <c r="AQ42" s="17"/>
      <c r="AR42" s="17"/>
      <c r="AS42" s="17"/>
      <c r="AT42" s="17"/>
      <c r="AU42" s="17"/>
      <c r="AV42" s="17"/>
      <c r="AW42" s="17"/>
      <c r="AX42" s="17"/>
      <c r="AY42" s="17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  <c r="CB42" s="17"/>
      <c r="CC42" s="17"/>
      <c r="CD42" s="17"/>
      <c r="CE42" s="17"/>
      <c r="CF42" s="17"/>
      <c r="CG42" s="17"/>
      <c r="CH42" s="17"/>
      <c r="CI42" s="17"/>
      <c r="CJ42" s="17"/>
      <c r="CK42" s="17"/>
      <c r="CL42" s="17"/>
      <c r="CM42" s="17"/>
      <c r="CN42" s="17"/>
      <c r="CO42" s="17"/>
      <c r="CP42" s="17"/>
      <c r="CQ42" s="17"/>
      <c r="CR42" s="17"/>
      <c r="CS42" s="17"/>
      <c r="CT42" s="17"/>
      <c r="CU42" s="17"/>
      <c r="CV42" s="17"/>
      <c r="CW42" s="17"/>
      <c r="CX42" s="17"/>
      <c r="CY42" s="17"/>
      <c r="CZ42" s="17"/>
      <c r="DA42" s="17"/>
      <c r="DB42" s="17"/>
      <c r="DC42" s="17"/>
      <c r="DD42" s="17"/>
      <c r="DE42" s="17"/>
      <c r="DF42" s="17"/>
      <c r="DG42" s="17"/>
      <c r="DH42" s="17"/>
      <c r="DI42" s="17"/>
      <c r="DJ42" s="17"/>
      <c r="DK42" s="17"/>
      <c r="DL42" s="17"/>
      <c r="DM42" s="17"/>
    </row>
    <row r="43" spans="1:117" x14ac:dyDescent="0.2">
      <c r="A43" s="248" t="s">
        <v>66</v>
      </c>
      <c r="B43" s="122" t="str">
        <f>VLOOKUP($A43,NSN!$A:$B,2,FALSE)</f>
        <v>C903240</v>
      </c>
      <c r="C43" s="123" t="str">
        <f>VLOOKUP($A43,CODIGOS!$B:$E,4,FALSE)</f>
        <v>KG</v>
      </c>
      <c r="D43" s="124">
        <f t="shared" si="5"/>
        <v>2</v>
      </c>
      <c r="E43" s="124" t="str">
        <f>IF(VLOOKUP($B43,CODIGOS!$A:$F,6,0)&lt;&gt;1000,(($F43*$I$2)/VLOOKUP($B43,CODIGOS!$A:$F,6,0)),"")</f>
        <v/>
      </c>
      <c r="F43" s="501">
        <v>10</v>
      </c>
      <c r="G43" s="135">
        <f>(F43/1000)*VLOOKUP($B43,CODIGOS!$A:$G,7,0)</f>
        <v>0.01</v>
      </c>
      <c r="H43" s="24">
        <f>VLOOKUP($A43,CODIGOS!$B:$D,2,FALSE)</f>
        <v>2021</v>
      </c>
      <c r="I43" s="147">
        <f t="shared" si="6"/>
        <v>20.21</v>
      </c>
      <c r="J43" s="53">
        <f t="shared" si="7"/>
        <v>4042</v>
      </c>
      <c r="K43" s="131">
        <f>VLOOKUP($B43,CODIGOS!$A:$K,8,0)*$G43*1000</f>
        <v>13.899999999999999</v>
      </c>
      <c r="L43" s="132">
        <f>VLOOKUP($B43,CODIGOS!$A:$K,9,0)*$G43*1000</f>
        <v>0.35000000000000003</v>
      </c>
      <c r="M43" s="132">
        <f>VLOOKUP($B43,CODIGOS!$A:$K,10,0)*$G43*1000</f>
        <v>0.04</v>
      </c>
      <c r="N43" s="133">
        <f>VLOOKUP($B43,CODIGOS!$A:$K,11,0)*$G43*1000</f>
        <v>3.04</v>
      </c>
    </row>
    <row r="44" spans="1:117" x14ac:dyDescent="0.2">
      <c r="A44" s="248" t="s">
        <v>84</v>
      </c>
      <c r="B44" s="122" t="str">
        <f>VLOOKUP($A44,NSN!$A:$B,2,FALSE)</f>
        <v>V000317</v>
      </c>
      <c r="C44" s="123" t="str">
        <f>VLOOKUP($A44,CODIGOS!$B:$E,4,FALSE)</f>
        <v>KG</v>
      </c>
      <c r="D44" s="124">
        <f t="shared" si="5"/>
        <v>8</v>
      </c>
      <c r="E44" s="124" t="str">
        <f>IF(VLOOKUP($B44,CODIGOS!$A:$F,6,0)&lt;&gt;1000,(($F44*$I$2)/VLOOKUP($B44,CODIGOS!$A:$F,6,0)),"")</f>
        <v/>
      </c>
      <c r="F44" s="210">
        <v>40</v>
      </c>
      <c r="G44" s="135">
        <f>(F44/1000)*VLOOKUP($B44,CODIGOS!$A:$G,7,0)</f>
        <v>3.78E-2</v>
      </c>
      <c r="H44" s="24">
        <f>VLOOKUP($A44,CODIGOS!$B:$D,2,FALSE)</f>
        <v>1669</v>
      </c>
      <c r="I44" s="147">
        <f t="shared" si="6"/>
        <v>66.760000000000005</v>
      </c>
      <c r="J44" s="53">
        <f t="shared" si="7"/>
        <v>13352</v>
      </c>
      <c r="K44" s="131">
        <f>VLOOKUP($B44,CODIGOS!$A:$K,8,0)*$G44*1000</f>
        <v>7.5600000000000005</v>
      </c>
      <c r="L44" s="132">
        <f>VLOOKUP($B44,CODIGOS!$A:$K,9,0)*$G44*1000</f>
        <v>0.30240000000000006</v>
      </c>
      <c r="M44" s="132">
        <f>VLOOKUP($B44,CODIGOS!$A:$K,10,0)*$G44*1000</f>
        <v>0.15120000000000003</v>
      </c>
      <c r="N44" s="133">
        <f>VLOOKUP($B44,CODIGOS!$A:$K,11,0)*$G44*1000</f>
        <v>1.2096000000000002</v>
      </c>
    </row>
    <row r="45" spans="1:117" x14ac:dyDescent="0.2">
      <c r="A45" s="248" t="s">
        <v>56</v>
      </c>
      <c r="B45" s="122" t="str">
        <f>VLOOKUP($A45,NSN!$A:$B,2,FALSE)</f>
        <v>C000249</v>
      </c>
      <c r="C45" s="123" t="str">
        <f>VLOOKUP($A45,CODIGOS!$B:$E,4,FALSE)</f>
        <v>KG</v>
      </c>
      <c r="D45" s="124">
        <f t="shared" si="5"/>
        <v>2</v>
      </c>
      <c r="E45" s="124" t="str">
        <f>IF(VLOOKUP($B45,CODIGOS!$A:$F,6,0)&lt;&gt;1000,(($F45*$I$2)/VLOOKUP($B45,CODIGOS!$A:$F,6,0)),"")</f>
        <v/>
      </c>
      <c r="F45" s="210">
        <v>10</v>
      </c>
      <c r="G45" s="135">
        <f>(F45/1000)*VLOOKUP($B45,CODIGOS!$A:$G,7,0)</f>
        <v>8.9099999999999995E-3</v>
      </c>
      <c r="H45" s="24">
        <f>VLOOKUP($A45,CODIGOS!$B:$D,2,FALSE)</f>
        <v>640</v>
      </c>
      <c r="I45" s="147">
        <f t="shared" si="6"/>
        <v>6.4</v>
      </c>
      <c r="J45" s="53">
        <f t="shared" si="7"/>
        <v>1280</v>
      </c>
      <c r="K45" s="131">
        <f>VLOOKUP($B45,CODIGOS!$A:$K,8,0)*$G45*1000</f>
        <v>3.8312999999999997</v>
      </c>
      <c r="L45" s="132">
        <f>VLOOKUP($B45,CODIGOS!$A:$K,9,0)*$G45*1000</f>
        <v>7.1279999999999996E-2</v>
      </c>
      <c r="M45" s="132">
        <f>VLOOKUP($B45,CODIGOS!$A:$K,10,0)*$G45*1000</f>
        <v>1.7819999999999999E-2</v>
      </c>
      <c r="N45" s="133">
        <f>VLOOKUP($B45,CODIGOS!$A:$K,11,0)*$G45*1000</f>
        <v>0.85536000000000001</v>
      </c>
    </row>
    <row r="46" spans="1:117" x14ac:dyDescent="0.2">
      <c r="A46" s="248" t="s">
        <v>368</v>
      </c>
      <c r="B46" s="122" t="str">
        <f>VLOOKUP($A46,NSN!$A:$B,2,FALSE)</f>
        <v>V000083</v>
      </c>
      <c r="C46" s="123" t="str">
        <f>VLOOKUP($A46,CODIGOS!$B:$E,4,FALSE)</f>
        <v>AT</v>
      </c>
      <c r="D46" s="124">
        <f t="shared" si="5"/>
        <v>0.2</v>
      </c>
      <c r="E46" s="124">
        <f>IF(VLOOKUP($B46,CODIGOS!$A:$F,6,0)&lt;&gt;1000,(($F46*$I$2)/VLOOKUP($B46,CODIGOS!$A:$F,6,0)),"")</f>
        <v>1.6666666666666667</v>
      </c>
      <c r="F46" s="210">
        <v>1</v>
      </c>
      <c r="G46" s="135">
        <f>(F46/1000)*VLOOKUP($B46,CODIGOS!$A:$G,7,0)</f>
        <v>8.7710000000000002E-4</v>
      </c>
      <c r="H46" s="24">
        <f>VLOOKUP($A46,CODIGOS!$B:$D,2,FALSE)</f>
        <v>1212</v>
      </c>
      <c r="I46" s="147">
        <f t="shared" si="6"/>
        <v>10.1</v>
      </c>
      <c r="J46" s="53">
        <f t="shared" si="7"/>
        <v>2020</v>
      </c>
      <c r="K46" s="131">
        <f>VLOOKUP($B46,CODIGOS!$A:$K,8,0)*$G46*1000</f>
        <v>0.51748899999999998</v>
      </c>
      <c r="L46" s="132">
        <f>VLOOKUP($B46,CODIGOS!$A:$K,9,0)*$G46*1000</f>
        <v>3.4206899999999998E-2</v>
      </c>
      <c r="M46" s="132">
        <f>VLOOKUP($B46,CODIGOS!$A:$K,10,0)*$G46*1000</f>
        <v>1.05252E-2</v>
      </c>
      <c r="N46" s="133">
        <f>VLOOKUP($B46,CODIGOS!$A:$K,11,0)*$G46*1000</f>
        <v>7.10451E-2</v>
      </c>
    </row>
    <row r="47" spans="1:117" x14ac:dyDescent="0.2">
      <c r="A47" s="248" t="s">
        <v>28</v>
      </c>
      <c r="B47" s="122" t="str">
        <f>VLOOKUP($A47,NSN!$A:$B,2,FALSE)</f>
        <v>V000010</v>
      </c>
      <c r="C47" s="123" t="str">
        <f>VLOOKUP($A47,CODIGOS!$B:$E,4,FALSE)</f>
        <v>SB. 1000 gr</v>
      </c>
      <c r="D47" s="124">
        <f t="shared" si="5"/>
        <v>0.2</v>
      </c>
      <c r="E47" s="124" t="str">
        <f>IF(VLOOKUP($B47,CODIGOS!$A:$F,6,0)&lt;&gt;1000,(($F47*$I$2)/VLOOKUP($B47,CODIGOS!$A:$F,6,0)),"")</f>
        <v/>
      </c>
      <c r="F47" s="210">
        <v>1</v>
      </c>
      <c r="G47" s="135">
        <f>(F47/1000)*VLOOKUP($B47,CODIGOS!$A:$G,7,0)</f>
        <v>1E-3</v>
      </c>
      <c r="H47" s="24">
        <f>VLOOKUP($A47,CODIGOS!$B:$D,2,FALSE)</f>
        <v>1979</v>
      </c>
      <c r="I47" s="147">
        <f t="shared" si="6"/>
        <v>1.9790000000000001</v>
      </c>
      <c r="J47" s="53">
        <f t="shared" si="7"/>
        <v>395.8</v>
      </c>
      <c r="K47" s="131">
        <f>VLOOKUP($B47,CODIGOS!$A:$K,8,0)*$G47*1000</f>
        <v>0.35</v>
      </c>
      <c r="L47" s="132">
        <f>VLOOKUP($B47,CODIGOS!$A:$K,9,0)*$G47*1000</f>
        <v>1.7000000000000005E-2</v>
      </c>
      <c r="M47" s="132">
        <f>VLOOKUP($B47,CODIGOS!$A:$K,10,0)*$G47*1000</f>
        <v>5.0000000000000001E-3</v>
      </c>
      <c r="N47" s="133">
        <f>VLOOKUP($B47,CODIGOS!$A:$K,11,0)*$G47*1000</f>
        <v>6.0000000000000005E-2</v>
      </c>
    </row>
    <row r="48" spans="1:117" x14ac:dyDescent="0.2">
      <c r="A48" s="248" t="s">
        <v>470</v>
      </c>
      <c r="B48" s="122" t="str">
        <f>VLOOKUP($A48,NSN!$A:$B,2,FALSE)</f>
        <v>V001129</v>
      </c>
      <c r="C48" s="123" t="str">
        <f>VLOOKUP($A48,CODIGOS!$B:$E,4,FALSE)</f>
        <v>500 cc</v>
      </c>
      <c r="D48" s="124">
        <f t="shared" si="5"/>
        <v>1</v>
      </c>
      <c r="E48" s="124">
        <f>IF(VLOOKUP($B48,CODIGOS!$A:$F,6,0)&lt;&gt;1000,(($F48*$I$2)/VLOOKUP($B48,CODIGOS!$A:$F,6,0)),"")</f>
        <v>2</v>
      </c>
      <c r="F48" s="210">
        <v>5</v>
      </c>
      <c r="G48" s="135">
        <f>(F48/1000)*VLOOKUP($B48,CODIGOS!$A:$G,7,0)</f>
        <v>5.0000000000000001E-3</v>
      </c>
      <c r="H48" s="24">
        <f>VLOOKUP($A48,CODIGOS!$B:$D,2,FALSE)</f>
        <v>1550</v>
      </c>
      <c r="I48" s="147">
        <f t="shared" si="6"/>
        <v>15.5</v>
      </c>
      <c r="J48" s="53">
        <f t="shared" si="7"/>
        <v>3100</v>
      </c>
      <c r="K48" s="131">
        <f>VLOOKUP($B48,CODIGOS!$A:$K,8,0)*$G48*1000</f>
        <v>1.25</v>
      </c>
      <c r="L48" s="132">
        <f>VLOOKUP($B48,CODIGOS!$A:$K,9,0)*$G48*1000</f>
        <v>0</v>
      </c>
      <c r="M48" s="132">
        <f>VLOOKUP($B48,CODIGOS!$A:$K,10,0)*$G48*1000</f>
        <v>5.0000000000000001E-3</v>
      </c>
      <c r="N48" s="133">
        <f>VLOOKUP($B48,CODIGOS!$A:$K,11,0)*$G48*1000</f>
        <v>4.6850000000000005</v>
      </c>
    </row>
    <row r="49" spans="1:14" x14ac:dyDescent="0.2">
      <c r="A49" s="248" t="s">
        <v>653</v>
      </c>
      <c r="B49" s="122" t="str">
        <f>VLOOKUP($A49,NSN!$A:$B,2,FALSE)</f>
        <v>C000528</v>
      </c>
      <c r="C49" s="123" t="str">
        <f>VLOOKUP($A49,CODIGOS!$B:$E,4,FALSE)</f>
        <v>KG</v>
      </c>
      <c r="D49" s="124">
        <f t="shared" si="5"/>
        <v>0.1</v>
      </c>
      <c r="E49" s="124" t="str">
        <f>IF(VLOOKUP($B49,CODIGOS!$A:$F,6,0)&lt;&gt;1000,(($F49*$I$2)/VLOOKUP($B49,CODIGOS!$A:$F,6,0)),"")</f>
        <v/>
      </c>
      <c r="F49" s="210">
        <v>0.5</v>
      </c>
      <c r="G49" s="135">
        <f>(F49/1000)*VLOOKUP($B49,CODIGOS!$A:$G,7,0)</f>
        <v>5.0000000000000001E-4</v>
      </c>
      <c r="H49" s="24">
        <f>VLOOKUP($A49,CODIGOS!$B:$D,2,FALSE)</f>
        <v>375</v>
      </c>
      <c r="I49" s="147">
        <f t="shared" si="6"/>
        <v>0.1875</v>
      </c>
      <c r="J49" s="53">
        <f t="shared" si="7"/>
        <v>37.5</v>
      </c>
      <c r="K49" s="131">
        <f>VLOOKUP($B49,CODIGOS!$A:$K,8,0)*$G49*1000</f>
        <v>0</v>
      </c>
      <c r="L49" s="132">
        <f>VLOOKUP($B49,CODIGOS!$A:$K,9,0)*$G49*1000</f>
        <v>0</v>
      </c>
      <c r="M49" s="132">
        <f>VLOOKUP($B49,CODIGOS!$A:$K,10,0)*$G49*1000</f>
        <v>0</v>
      </c>
      <c r="N49" s="133">
        <f>VLOOKUP($B49,CODIGOS!$A:$K,11,0)*$G49*1000</f>
        <v>0</v>
      </c>
    </row>
    <row r="50" spans="1:14" ht="13.5" thickBot="1" x14ac:dyDescent="0.25">
      <c r="A50" s="248" t="s">
        <v>2028</v>
      </c>
      <c r="B50" s="148" t="str">
        <f>VLOOKUP($A50,NSN!$A:$B,2,FALSE)</f>
        <v>C902636</v>
      </c>
      <c r="C50" s="149" t="str">
        <f>VLOOKUP($A50,CODIGOS!$B:$E,4,FALSE)</f>
        <v>900 ML</v>
      </c>
      <c r="D50" s="150">
        <f t="shared" si="5"/>
        <v>1</v>
      </c>
      <c r="E50" s="150">
        <f>IF(VLOOKUP($B50,CODIGOS!$A:$F,6,0)&lt;&gt;1000,(($F50*$I$2)/VLOOKUP($B50,CODIGOS!$A:$F,6,0)),"")</f>
        <v>1.1111111111111112</v>
      </c>
      <c r="F50" s="239">
        <v>5</v>
      </c>
      <c r="G50" s="242">
        <f>(F50/1000)*VLOOKUP($B50,CODIGOS!$A:$G,7,0)</f>
        <v>5.0000000000000001E-3</v>
      </c>
      <c r="H50" s="222">
        <f>VLOOKUP($A50,CODIGOS!$B:$D,2,FALSE)</f>
        <v>1500</v>
      </c>
      <c r="I50" s="243">
        <f t="shared" si="6"/>
        <v>8.3333333333333339</v>
      </c>
      <c r="J50" s="229">
        <f t="shared" si="7"/>
        <v>1666.6666666666667</v>
      </c>
      <c r="K50" s="238">
        <f>VLOOKUP($B50,CODIGOS!$A:$K,8,0)*$G50*1000</f>
        <v>44.2</v>
      </c>
      <c r="L50" s="230">
        <f>VLOOKUP($B50,CODIGOS!$A:$K,9,0)*$G50*1000</f>
        <v>0</v>
      </c>
      <c r="M50" s="230">
        <f>VLOOKUP($B50,CODIGOS!$A:$K,10,0)*$G50*1000</f>
        <v>5</v>
      </c>
      <c r="N50" s="231">
        <f>VLOOKUP($B50,CODIGOS!$A:$K,11,0)*$G50*1000</f>
        <v>0</v>
      </c>
    </row>
    <row r="51" spans="1:14" ht="13.5" thickBot="1" x14ac:dyDescent="0.25">
      <c r="A51" s="17" t="s">
        <v>627</v>
      </c>
      <c r="B51" s="33"/>
      <c r="C51" s="18"/>
      <c r="D51" s="126"/>
      <c r="E51" s="126"/>
      <c r="F51" s="211"/>
      <c r="G51" s="19"/>
      <c r="H51" s="41"/>
      <c r="I51" s="224">
        <f t="shared" ref="I51:N51" si="8">SUM(I20:I50)</f>
        <v>1978.0720238095237</v>
      </c>
      <c r="J51" s="225">
        <f t="shared" si="8"/>
        <v>395614.40476190473</v>
      </c>
      <c r="K51" s="226">
        <f t="shared" si="8"/>
        <v>1075.0776890000002</v>
      </c>
      <c r="L51" s="226">
        <f t="shared" si="8"/>
        <v>47.261366900000006</v>
      </c>
      <c r="M51" s="226">
        <f t="shared" si="8"/>
        <v>31.172785199999993</v>
      </c>
      <c r="N51" s="227">
        <f t="shared" si="8"/>
        <v>154.81564509999998</v>
      </c>
    </row>
    <row r="52" spans="1:14" ht="13.5" thickBot="1" x14ac:dyDescent="0.25">
      <c r="A52" s="106" t="s">
        <v>23</v>
      </c>
      <c r="B52" s="107"/>
      <c r="C52" s="107"/>
      <c r="D52" s="107"/>
      <c r="E52" s="107"/>
      <c r="F52" s="212"/>
      <c r="G52" s="107"/>
      <c r="H52" s="107"/>
      <c r="I52" s="107"/>
      <c r="J52" s="107"/>
      <c r="K52" s="107"/>
      <c r="L52" s="107"/>
      <c r="M52" s="107"/>
      <c r="N52" s="108"/>
    </row>
    <row r="53" spans="1:14" x14ac:dyDescent="0.2">
      <c r="A53" s="248" t="s">
        <v>323</v>
      </c>
      <c r="B53" s="141" t="str">
        <f>VLOOKUP($A53,NSN!$A:$B,2,FALSE)</f>
        <v>C902857</v>
      </c>
      <c r="C53" s="142" t="str">
        <f>VLOOKUP($A53,CODIGOS!$B:$E,4,FALSE)</f>
        <v>KG</v>
      </c>
      <c r="D53" s="143">
        <f t="shared" ref="D53:D67" si="9">($F53*$I$3)/1000</f>
        <v>0.48</v>
      </c>
      <c r="E53" s="143" t="str">
        <f>IF(VLOOKUP($B53,CODIGOS!$A:$F,6,0)&lt;&gt;1000,(($F53*$I$3)/VLOOKUP($B53,CODIGOS!$A:$F,6,0)),"")</f>
        <v/>
      </c>
      <c r="F53" s="207">
        <v>6</v>
      </c>
      <c r="G53" s="144">
        <f>(F53/1000)*VLOOKUP($B53,CODIGOS!$A:$G,7,0)</f>
        <v>6.0000000000000001E-3</v>
      </c>
      <c r="H53" s="25">
        <f>VLOOKUP($A53,CODIGOS!$B:$D,2,FALSE)</f>
        <v>2941</v>
      </c>
      <c r="I53" s="25">
        <f>IF($H53="S/STOCK","",$J53/$I$3)</f>
        <v>17.645999999999997</v>
      </c>
      <c r="J53" s="25">
        <f t="shared" ref="J53:J67" si="10">IF(H53="S/STOCK","",IF($E53="",$D53*$H53,$E53*$H53))</f>
        <v>1411.6799999999998</v>
      </c>
      <c r="K53" s="144">
        <f>VLOOKUP($B53,CODIGOS!$A:$K,8,0)*$G53*1000</f>
        <v>21.54</v>
      </c>
      <c r="L53" s="144">
        <f>VLOOKUP($B53,CODIGOS!$A:$K,9,0)*$G53*1000</f>
        <v>0</v>
      </c>
      <c r="M53" s="144">
        <f>VLOOKUP($B53,CODIGOS!$A:$K,10,0)*$G53*1000</f>
        <v>0</v>
      </c>
      <c r="N53" s="220">
        <f>VLOOKUP($B53,CODIGOS!$A:$K,11,0)*$G53*1000</f>
        <v>5.3759999999999994</v>
      </c>
    </row>
    <row r="54" spans="1:14" x14ac:dyDescent="0.2">
      <c r="A54" s="248" t="s">
        <v>13</v>
      </c>
      <c r="B54" s="122" t="str">
        <f>VLOOKUP($A54,NSN!$A:$B,2,FALSE)</f>
        <v>V000415</v>
      </c>
      <c r="C54" s="123" t="str">
        <f>VLOOKUP($A54,CODIGOS!$B:$E,4,FALSE)</f>
        <v>KG</v>
      </c>
      <c r="D54" s="124">
        <f t="shared" si="9"/>
        <v>4</v>
      </c>
      <c r="E54" s="124" t="str">
        <f>IF(VLOOKUP($B54,CODIGOS!$A:$F,6,0)&lt;&gt;1000,(($F54*$I$3)/VLOOKUP($B54,CODIGOS!$A:$F,6,0)),"")</f>
        <v/>
      </c>
      <c r="F54" s="206">
        <v>50</v>
      </c>
      <c r="G54" s="125">
        <f>(F54/1000)*VLOOKUP($B54,CODIGOS!$A:$G,7,0)</f>
        <v>0.05</v>
      </c>
      <c r="H54" s="24">
        <f>VLOOKUP($A54,CODIGOS!$B:$D,2,FALSE)</f>
        <v>1783</v>
      </c>
      <c r="I54" s="24">
        <f t="shared" ref="I54:I67" si="11">IF($H54="S/STOCK","",$J54/$I$3)</f>
        <v>89.15</v>
      </c>
      <c r="J54" s="24">
        <f t="shared" si="10"/>
        <v>7132</v>
      </c>
      <c r="K54" s="125">
        <f>VLOOKUP($B54,CODIGOS!$A:$K,8,0)*$G54*1000</f>
        <v>157.5</v>
      </c>
      <c r="L54" s="125">
        <f>VLOOKUP($B54,CODIGOS!$A:$K,9,0)*$G54*1000</f>
        <v>4.0999999999999996</v>
      </c>
      <c r="M54" s="125">
        <f>VLOOKUP($B54,CODIGOS!$A:$K,10,0)*$G54*1000</f>
        <v>2</v>
      </c>
      <c r="N54" s="221">
        <f>VLOOKUP($B54,CODIGOS!$A:$K,11,0)*$G54*1000</f>
        <v>30.8</v>
      </c>
    </row>
    <row r="55" spans="1:14" x14ac:dyDescent="0.2">
      <c r="A55" s="248" t="s">
        <v>399</v>
      </c>
      <c r="B55" s="122" t="str">
        <f>VLOOKUP($A55,NSN!$A:$B,2,FALSE)</f>
        <v>C902845</v>
      </c>
      <c r="C55" s="123" t="str">
        <f>VLOOKUP($A55,CODIGOS!$B:$E,4,FALSE)</f>
        <v>KG</v>
      </c>
      <c r="D55" s="124">
        <f t="shared" si="9"/>
        <v>0.99999999999999944</v>
      </c>
      <c r="E55" s="124" t="str">
        <f>IF(VLOOKUP($B55,CODIGOS!$A:$F,6,0)&lt;&gt;1000,(($F55*$I$3)/VLOOKUP($B55,CODIGOS!$A:$F,6,0)),"")</f>
        <v/>
      </c>
      <c r="F55" s="512">
        <v>12.499999999999993</v>
      </c>
      <c r="G55" s="125">
        <f>(F55/1000)*VLOOKUP($B55,CODIGOS!$A:$G,7,0)</f>
        <v>1.2499999999999994E-2</v>
      </c>
      <c r="H55" s="24">
        <f>VLOOKUP($A55,CODIGOS!$B:$D,2,FALSE)</f>
        <v>2000</v>
      </c>
      <c r="I55" s="24">
        <f t="shared" si="11"/>
        <v>24.999999999999986</v>
      </c>
      <c r="J55" s="24">
        <f t="shared" si="10"/>
        <v>1999.9999999999989</v>
      </c>
      <c r="K55" s="125">
        <f>VLOOKUP($B55,CODIGOS!$A:$K,8,0)*$G55*1000</f>
        <v>39.124999999999979</v>
      </c>
      <c r="L55" s="125">
        <f>VLOOKUP($B55,CODIGOS!$A:$K,9,0)*$G55*1000</f>
        <v>0.83749999999999958</v>
      </c>
      <c r="M55" s="125">
        <f>VLOOKUP($B55,CODIGOS!$A:$K,10,0)*$G55*1000</f>
        <v>0.31249999999999983</v>
      </c>
      <c r="N55" s="221">
        <f>VLOOKUP($B55,CODIGOS!$A:$K,11,0)*$G55*1000</f>
        <v>8.2499999999999964</v>
      </c>
    </row>
    <row r="56" spans="1:14" x14ac:dyDescent="0.2">
      <c r="A56" s="248" t="s">
        <v>2324</v>
      </c>
      <c r="B56" s="122" t="str">
        <f>VLOOKUP($A56,NSN!$A:$B,2,FALSE)</f>
        <v>C008045</v>
      </c>
      <c r="C56" s="123" t="str">
        <f>VLOOKUP($A56,CODIGOS!$B:$E,4,FALSE)</f>
        <v>KG</v>
      </c>
      <c r="D56" s="124">
        <f t="shared" si="9"/>
        <v>16</v>
      </c>
      <c r="E56" s="124" t="str">
        <f>IF(VLOOKUP($B56,CODIGOS!$A:$F,6,0)&lt;&gt;1000,(($F56*$I$3)/VLOOKUP($B56,CODIGOS!$A:$F,6,0)),"")</f>
        <v/>
      </c>
      <c r="F56" s="522">
        <v>200</v>
      </c>
      <c r="G56" s="125">
        <f>(F56/1000)*VLOOKUP($B56,CODIGOS!$A:$G,7,0)</f>
        <v>0.13040000000000002</v>
      </c>
      <c r="H56" s="24">
        <f>VLOOKUP($A56,CODIGOS!$B:$D,2,FALSE)</f>
        <v>2500</v>
      </c>
      <c r="I56" s="24">
        <f t="shared" si="11"/>
        <v>500</v>
      </c>
      <c r="J56" s="24">
        <f t="shared" si="10"/>
        <v>40000</v>
      </c>
      <c r="K56" s="125">
        <f>VLOOKUP($B56,CODIGOS!$A:$K,8,0)*$G56*1000</f>
        <v>169.52000000000004</v>
      </c>
      <c r="L56" s="125">
        <f>VLOOKUP($B56,CODIGOS!$A:$K,9,0)*$G56*1000</f>
        <v>29.079200000000004</v>
      </c>
      <c r="M56" s="125">
        <f>VLOOKUP($B56,CODIGOS!$A:$K,10,0)*$G56*1000</f>
        <v>4.9552000000000005</v>
      </c>
      <c r="N56" s="221">
        <f>VLOOKUP($B56,CODIGOS!$A:$K,11,0)*$G56*1000</f>
        <v>2.2168000000000005</v>
      </c>
    </row>
    <row r="57" spans="1:14" x14ac:dyDescent="0.2">
      <c r="A57" s="248" t="s">
        <v>653</v>
      </c>
      <c r="B57" s="122" t="str">
        <f>VLOOKUP($A57,NSN!$A:$B,2,FALSE)</f>
        <v>C000528</v>
      </c>
      <c r="C57" s="123" t="str">
        <f>VLOOKUP($A57,CODIGOS!$B:$E,4,FALSE)</f>
        <v>KG</v>
      </c>
      <c r="D57" s="124">
        <f t="shared" si="9"/>
        <v>0.04</v>
      </c>
      <c r="E57" s="124" t="str">
        <f>IF(VLOOKUP($B57,CODIGOS!$A:$F,6,0)&lt;&gt;1000,(($F57*$I$3)/VLOOKUP($B57,CODIGOS!$A:$F,6,0)),"")</f>
        <v/>
      </c>
      <c r="F57" s="522">
        <v>0.5</v>
      </c>
      <c r="G57" s="125">
        <f>(F57/1000)*VLOOKUP($B57,CODIGOS!$A:$G,7,0)</f>
        <v>5.0000000000000001E-4</v>
      </c>
      <c r="H57" s="24">
        <f>VLOOKUP($A57,CODIGOS!$B:$D,2,FALSE)</f>
        <v>375</v>
      </c>
      <c r="I57" s="24">
        <f t="shared" si="11"/>
        <v>0.1875</v>
      </c>
      <c r="J57" s="24">
        <f t="shared" ref="J57:J58" si="12">IF(H57="S/STOCK","",IF($E57="",$D57*$H57,$E57*$H57))</f>
        <v>15</v>
      </c>
      <c r="K57" s="125">
        <f>VLOOKUP($B57,CODIGOS!$A:$K,8,0)*$G57*1000</f>
        <v>0</v>
      </c>
      <c r="L57" s="125">
        <f>VLOOKUP($B57,CODIGOS!$A:$K,9,0)*$G57*1000</f>
        <v>0</v>
      </c>
      <c r="M57" s="125">
        <f>VLOOKUP($B57,CODIGOS!$A:$K,10,0)*$G57*1000</f>
        <v>0</v>
      </c>
      <c r="N57" s="221">
        <f>VLOOKUP($B57,CODIGOS!$A:$K,11,0)*$G57*1000</f>
        <v>0</v>
      </c>
    </row>
    <row r="58" spans="1:14" x14ac:dyDescent="0.2">
      <c r="A58" s="248" t="s">
        <v>38</v>
      </c>
      <c r="B58" s="122" t="str">
        <f>VLOOKUP($A58,NSN!$A:$B,2,FALSE)</f>
        <v>V000214</v>
      </c>
      <c r="C58" s="123" t="str">
        <f>VLOOKUP($A58,CODIGOS!$B:$E,4,FALSE)</f>
        <v>KG</v>
      </c>
      <c r="D58" s="124">
        <f t="shared" si="9"/>
        <v>0.04</v>
      </c>
      <c r="E58" s="124" t="str">
        <f>IF(VLOOKUP($B58,CODIGOS!$A:$F,6,0)&lt;&gt;1000,(($F58*$I$3)/VLOOKUP($B58,CODIGOS!$A:$F,6,0)),"")</f>
        <v/>
      </c>
      <c r="F58" s="522">
        <v>0.5</v>
      </c>
      <c r="G58" s="125">
        <f>(F58/1000)*VLOOKUP($B58,CODIGOS!$A:$G,7,0)</f>
        <v>5.0000000000000001E-4</v>
      </c>
      <c r="H58" s="24">
        <f>VLOOKUP($A58,CODIGOS!$B:$D,2,FALSE)</f>
        <v>7058</v>
      </c>
      <c r="I58" s="24">
        <f t="shared" si="11"/>
        <v>3.5289999999999999</v>
      </c>
      <c r="J58" s="24">
        <f t="shared" si="12"/>
        <v>282.32</v>
      </c>
      <c r="K58" s="125">
        <f>VLOOKUP($B58,CODIGOS!$A:$K,8,0)*$G58*1000</f>
        <v>0.41</v>
      </c>
      <c r="L58" s="125">
        <f>VLOOKUP($B58,CODIGOS!$A:$K,9,0)*$G58*1000</f>
        <v>5.5000000000000005E-3</v>
      </c>
      <c r="M58" s="125">
        <f>VLOOKUP($B58,CODIGOS!$A:$K,10,0)*$G58*1000</f>
        <v>1.95E-2</v>
      </c>
      <c r="N58" s="221">
        <f>VLOOKUP($B58,CODIGOS!$A:$K,11,0)*$G58*1000</f>
        <v>5.3499999999999999E-2</v>
      </c>
    </row>
    <row r="59" spans="1:14" x14ac:dyDescent="0.2">
      <c r="A59" s="248" t="s">
        <v>56</v>
      </c>
      <c r="B59" s="122" t="str">
        <f>VLOOKUP($A59,NSN!$A:$B,2,FALSE)</f>
        <v>C000249</v>
      </c>
      <c r="C59" s="123" t="str">
        <f>VLOOKUP($A59,CODIGOS!$B:$E,4,FALSE)</f>
        <v>KG</v>
      </c>
      <c r="D59" s="124">
        <f t="shared" si="9"/>
        <v>2.4</v>
      </c>
      <c r="E59" s="124" t="str">
        <f>IF(VLOOKUP($B59,CODIGOS!$A:$F,6,0)&lt;&gt;1000,(($F59*$I$3)/VLOOKUP($B59,CODIGOS!$A:$F,6,0)),"")</f>
        <v/>
      </c>
      <c r="F59" s="522">
        <v>30</v>
      </c>
      <c r="G59" s="125">
        <f>(F59/1000)*VLOOKUP($B59,CODIGOS!$A:$G,7,0)</f>
        <v>2.673E-2</v>
      </c>
      <c r="H59" s="24">
        <f>VLOOKUP($A59,CODIGOS!$B:$D,2,FALSE)</f>
        <v>640</v>
      </c>
      <c r="I59" s="24">
        <f t="shared" si="11"/>
        <v>19.2</v>
      </c>
      <c r="J59" s="24">
        <f>IF(H59="S/STOCK","",IF($E59="",$D59*$H59,$E59*$H59))</f>
        <v>1536</v>
      </c>
      <c r="K59" s="125">
        <f>VLOOKUP($B59,CODIGOS!$A:$K,8,0)*$G59*1000</f>
        <v>11.4939</v>
      </c>
      <c r="L59" s="125">
        <f>VLOOKUP($B59,CODIGOS!$A:$K,9,0)*$G59*1000</f>
        <v>0.21384</v>
      </c>
      <c r="M59" s="125">
        <f>VLOOKUP($B59,CODIGOS!$A:$K,10,0)*$G59*1000</f>
        <v>5.3460000000000001E-2</v>
      </c>
      <c r="N59" s="221">
        <f>VLOOKUP($B59,CODIGOS!$A:$K,11,0)*$G59*1000</f>
        <v>2.5660799999999999</v>
      </c>
    </row>
    <row r="60" spans="1:14" x14ac:dyDescent="0.2">
      <c r="A60" s="248" t="s">
        <v>615</v>
      </c>
      <c r="B60" s="122" t="str">
        <f>VLOOKUP($A60,NSN!$A:$B,2,FALSE)</f>
        <v>V000333</v>
      </c>
      <c r="C60" s="123" t="str">
        <f>VLOOKUP($A60,CODIGOS!$B:$E,4,FALSE)</f>
        <v>NR (250 g)</v>
      </c>
      <c r="D60" s="124">
        <f t="shared" si="9"/>
        <v>3.2</v>
      </c>
      <c r="E60" s="124">
        <f>IF(VLOOKUP($B60,CODIGOS!$A:$F,6,0)&lt;&gt;1000,(($F60*$I$3)/VLOOKUP($B60,CODIGOS!$A:$F,6,0)),"")</f>
        <v>12.8</v>
      </c>
      <c r="F60" s="522">
        <v>40</v>
      </c>
      <c r="G60" s="125">
        <f>(F60/1000)*VLOOKUP($B60,CODIGOS!$A:$G,7,0)</f>
        <v>3.7920000000000002E-2</v>
      </c>
      <c r="H60" s="24">
        <f>VLOOKUP($A60,CODIGOS!$B:$D,2,FALSE)</f>
        <v>796</v>
      </c>
      <c r="I60" s="24">
        <f t="shared" si="11"/>
        <v>127.36000000000001</v>
      </c>
      <c r="J60" s="24">
        <f t="shared" ref="J60" si="13">IF(H60="S/STOCK","",IF($E60="",$D60*$H60,$E60*$H60))</f>
        <v>10188.800000000001</v>
      </c>
      <c r="K60" s="125">
        <f>VLOOKUP($B60,CODIGOS!$A:$K,8,0)*$G60*1000</f>
        <v>6.4464000000000006</v>
      </c>
      <c r="L60" s="125">
        <f>VLOOKUP($B60,CODIGOS!$A:$K,9,0)*$G60*1000</f>
        <v>0.49296000000000006</v>
      </c>
      <c r="M60" s="125">
        <f>VLOOKUP($B60,CODIGOS!$A:$K,10,0)*$G60*1000</f>
        <v>0.11376000000000001</v>
      </c>
      <c r="N60" s="221">
        <f>VLOOKUP($B60,CODIGOS!$A:$K,11,0)*$G60*1000</f>
        <v>0.87216000000000005</v>
      </c>
    </row>
    <row r="61" spans="1:14" x14ac:dyDescent="0.2">
      <c r="A61" s="248" t="s">
        <v>199</v>
      </c>
      <c r="B61" s="122" t="str">
        <f>VLOOKUP($A61,NSN!$A:$B,2,FALSE)</f>
        <v>V000330</v>
      </c>
      <c r="C61" s="123" t="str">
        <f>VLOOKUP($A61,CODIGOS!$B:$E,4,FALSE)</f>
        <v>KG</v>
      </c>
      <c r="D61" s="124">
        <f t="shared" si="9"/>
        <v>3.2</v>
      </c>
      <c r="E61" s="124" t="str">
        <f>IF(VLOOKUP($B61,CODIGOS!$A:$F,6,0)&lt;&gt;1000,(($F61*$I$3)/VLOOKUP($B61,CODIGOS!$A:$F,6,0)),"")</f>
        <v/>
      </c>
      <c r="F61" s="522">
        <v>40</v>
      </c>
      <c r="G61" s="125">
        <f>(F61/1000)*VLOOKUP($B61,CODIGOS!$A:$G,7,0)</f>
        <v>3.6080000000000001E-2</v>
      </c>
      <c r="H61" s="24">
        <f>VLOOKUP($A61,CODIGOS!$B:$D,2,FALSE)</f>
        <v>1287</v>
      </c>
      <c r="I61" s="24">
        <f t="shared" si="11"/>
        <v>51.480000000000004</v>
      </c>
      <c r="J61" s="24">
        <f t="shared" ref="J61" si="14">IF(H61="S/STOCK","",IF($E61="",$D61*$H61,$E61*$H61))</f>
        <v>4118.4000000000005</v>
      </c>
      <c r="K61" s="125">
        <f>VLOOKUP($B61,CODIGOS!$A:$K,8,0)*$G61*1000</f>
        <v>31.0288</v>
      </c>
      <c r="L61" s="125">
        <f>VLOOKUP($B61,CODIGOS!$A:$K,9,0)*$G61*1000</f>
        <v>0.32472000000000001</v>
      </c>
      <c r="M61" s="125">
        <f>VLOOKUP($B61,CODIGOS!$A:$K,10,0)*$G61*1000</f>
        <v>0.18040000000000003</v>
      </c>
      <c r="N61" s="221">
        <f>VLOOKUP($B61,CODIGOS!$A:$K,11,0)*$G61*1000</f>
        <v>2.9224800000000002</v>
      </c>
    </row>
    <row r="62" spans="1:14" x14ac:dyDescent="0.2">
      <c r="A62" s="248" t="s">
        <v>381</v>
      </c>
      <c r="B62" s="122" t="str">
        <f>VLOOKUP($A62,NSN!$A:$B,2,FALSE)</f>
        <v>V000254</v>
      </c>
      <c r="C62" s="123" t="str">
        <f>VLOOKUP($A62,CODIGOS!$B:$E,4,FALSE)</f>
        <v>KG</v>
      </c>
      <c r="D62" s="124">
        <f t="shared" si="9"/>
        <v>3.2</v>
      </c>
      <c r="E62" s="124" t="str">
        <f>IF(VLOOKUP($B62,CODIGOS!$A:$F,6,0)&lt;&gt;1000,(($F62*$I$3)/VLOOKUP($B62,CODIGOS!$A:$F,6,0)),"")</f>
        <v/>
      </c>
      <c r="F62" s="522">
        <v>40</v>
      </c>
      <c r="G62" s="125">
        <f>(F62/1000)*VLOOKUP($B62,CODIGOS!$A:$G,7,0)</f>
        <v>0.04</v>
      </c>
      <c r="H62" s="24">
        <f>VLOOKUP($A62,CODIGOS!$B:$D,2,FALSE)</f>
        <v>2645</v>
      </c>
      <c r="I62" s="24">
        <f t="shared" si="11"/>
        <v>105.8</v>
      </c>
      <c r="J62" s="24">
        <f>IF(H62="S/STOCK","",IF($E62="",$D62*$H62,$E62*$H62))</f>
        <v>8464</v>
      </c>
      <c r="K62" s="125">
        <f>VLOOKUP($B62,CODIGOS!$A:$K,8,0)*$G62*1000</f>
        <v>12.4</v>
      </c>
      <c r="L62" s="125">
        <f>VLOOKUP($B62,CODIGOS!$A:$K,9,0)*$G62*1000</f>
        <v>0.92</v>
      </c>
      <c r="M62" s="125">
        <f>VLOOKUP($B62,CODIGOS!$A:$K,10,0)*$G62*1000</f>
        <v>0.12000000000000001</v>
      </c>
      <c r="N62" s="221">
        <f>VLOOKUP($B62,CODIGOS!$A:$K,11,0)*$G62*1000</f>
        <v>1.88</v>
      </c>
    </row>
    <row r="63" spans="1:14" x14ac:dyDescent="0.2">
      <c r="A63" s="248" t="s">
        <v>151</v>
      </c>
      <c r="B63" s="122" t="str">
        <f>VLOOKUP($A63,NSN!$A:$B,2,FALSE)</f>
        <v>V000148</v>
      </c>
      <c r="C63" s="123" t="str">
        <f>VLOOKUP($A63,CODIGOS!$B:$E,4,FALSE)</f>
        <v>NR 50 gr</v>
      </c>
      <c r="D63" s="124">
        <f t="shared" si="9"/>
        <v>2</v>
      </c>
      <c r="E63" s="124">
        <f>IF(VLOOKUP($B63,CODIGOS!$A:$F,6,0)&lt;&gt;1000,(($F63*$I$3)/VLOOKUP($B63,CODIGOS!$A:$F,6,0)),"")</f>
        <v>40</v>
      </c>
      <c r="F63" s="522">
        <v>25</v>
      </c>
      <c r="G63" s="125">
        <f>(F63/1000)*VLOOKUP($B63,CODIGOS!$A:$G,7,0)</f>
        <v>2.5000000000000001E-2</v>
      </c>
      <c r="H63" s="24">
        <f>VLOOKUP($A63,CODIGOS!$B:$D,2,FALSE)</f>
        <v>253</v>
      </c>
      <c r="I63" s="24">
        <f t="shared" si="11"/>
        <v>126.5</v>
      </c>
      <c r="J63" s="24">
        <f>IF(H63="S/STOCK","",IF($E63="",$D63*$H63,$E63*$H63))</f>
        <v>10120</v>
      </c>
      <c r="K63" s="125">
        <f>VLOOKUP($B63,CODIGOS!$A:$K,8,0)*$G63*1000</f>
        <v>40.000000000000007</v>
      </c>
      <c r="L63" s="125">
        <f>VLOOKUP($B63,CODIGOS!$A:$K,9,0)*$G63*1000</f>
        <v>3.3750000000000004</v>
      </c>
      <c r="M63" s="125">
        <f>VLOOKUP($B63,CODIGOS!$A:$K,10,0)*$G63*1000</f>
        <v>2.5000000000000004</v>
      </c>
      <c r="N63" s="221">
        <f>VLOOKUP($B63,CODIGOS!$A:$K,11,0)*$G63*1000</f>
        <v>0.1</v>
      </c>
    </row>
    <row r="64" spans="1:14" x14ac:dyDescent="0.2">
      <c r="A64" s="248" t="s">
        <v>13</v>
      </c>
      <c r="B64" s="122" t="str">
        <f>VLOOKUP($A64,NSN!$A:$B,2,FALSE)</f>
        <v>V000415</v>
      </c>
      <c r="C64" s="123" t="s">
        <v>167</v>
      </c>
      <c r="D64" s="124">
        <f t="shared" si="9"/>
        <v>0.8</v>
      </c>
      <c r="E64" s="124" t="s">
        <v>627</v>
      </c>
      <c r="F64" s="523">
        <v>10</v>
      </c>
      <c r="G64" s="125">
        <f>(F64/1000)*VLOOKUP($B64,CODIGOS!$A:$G,7,0)</f>
        <v>0.01</v>
      </c>
      <c r="H64" s="24">
        <f>VLOOKUP($A64,CODIGOS!$B:$D,2,FALSE)</f>
        <v>1783</v>
      </c>
      <c r="I64" s="24">
        <f t="shared" si="11"/>
        <v>17.830000000000002</v>
      </c>
      <c r="J64" s="24">
        <f t="shared" si="10"/>
        <v>1426.4</v>
      </c>
      <c r="K64" s="125">
        <v>44.2</v>
      </c>
      <c r="L64" s="125">
        <f>VLOOKUP($B64,CODIGOS!$A:$K,9,0)*$G64*1000</f>
        <v>0.81999999999999984</v>
      </c>
      <c r="M64" s="125">
        <f>VLOOKUP($B64,CODIGOS!$A:$K,10,0)*$G64*1000</f>
        <v>0.4</v>
      </c>
      <c r="N64" s="221">
        <f>VLOOKUP($B64,CODIGOS!$A:$K,11,0)*$G64*1000</f>
        <v>6.1599999999999993</v>
      </c>
    </row>
    <row r="65" spans="1:14" x14ac:dyDescent="0.2">
      <c r="A65" s="248" t="s">
        <v>653</v>
      </c>
      <c r="B65" s="122" t="str">
        <f>VLOOKUP($A65,NSN!$A:$B,2,FALSE)</f>
        <v>C000528</v>
      </c>
      <c r="C65" s="123" t="str">
        <f>VLOOKUP($A65,CODIGOS!$B:$E,4,FALSE)</f>
        <v>KG</v>
      </c>
      <c r="D65" s="124">
        <f t="shared" si="9"/>
        <v>0.04</v>
      </c>
      <c r="E65" s="124" t="str">
        <f>IF(VLOOKUP($B65,CODIGOS!$A:$F,6,0)&lt;&gt;1000,(($F65*$I$3)/VLOOKUP($B65,CODIGOS!$A:$F,6,0)),"")</f>
        <v/>
      </c>
      <c r="F65" s="522">
        <v>0.5</v>
      </c>
      <c r="G65" s="125">
        <f>(F65/1000)*VLOOKUP($B65,CODIGOS!$A:$G,7,0)</f>
        <v>5.0000000000000001E-4</v>
      </c>
      <c r="H65" s="24">
        <f>VLOOKUP($A65,CODIGOS!$B:$D,2,FALSE)</f>
        <v>375</v>
      </c>
      <c r="I65" s="24">
        <f t="shared" si="11"/>
        <v>0.1875</v>
      </c>
      <c r="J65" s="24">
        <f>IF(H65="S/STOCK","",IF($E65="",$D65*$H65,$E65*$H65))</f>
        <v>15</v>
      </c>
      <c r="K65" s="125">
        <f>VLOOKUP($B65,CODIGOS!$A:$K,8,0)*$G65*1000</f>
        <v>0</v>
      </c>
      <c r="L65" s="125">
        <f>VLOOKUP($B65,CODIGOS!$A:$K,9,0)*$G65*1000</f>
        <v>0</v>
      </c>
      <c r="M65" s="125">
        <f>VLOOKUP($B65,CODIGOS!$A:$K,10,0)*$G65*1000</f>
        <v>0</v>
      </c>
      <c r="N65" s="221">
        <f>VLOOKUP($B65,CODIGOS!$A:$K,11,0)*$G65*1000</f>
        <v>0</v>
      </c>
    </row>
    <row r="66" spans="1:14" x14ac:dyDescent="0.2">
      <c r="A66" s="248" t="s">
        <v>2028</v>
      </c>
      <c r="B66" s="122" t="str">
        <f>VLOOKUP($A66,NSN!$A:$B,2,FALSE)</f>
        <v>C902636</v>
      </c>
      <c r="C66" s="123" t="s">
        <v>167</v>
      </c>
      <c r="D66" s="124">
        <f t="shared" si="9"/>
        <v>0.4</v>
      </c>
      <c r="E66" s="124" t="s">
        <v>627</v>
      </c>
      <c r="F66" s="523">
        <v>5</v>
      </c>
      <c r="G66" s="125">
        <f>(F66/1000)*VLOOKUP($B66,CODIGOS!$A:$G,7,0)</f>
        <v>5.0000000000000001E-3</v>
      </c>
      <c r="H66" s="24">
        <f>VLOOKUP($A66,CODIGOS!$B:$D,2,FALSE)</f>
        <v>1500</v>
      </c>
      <c r="I66" s="24">
        <f t="shared" si="11"/>
        <v>7.5</v>
      </c>
      <c r="J66" s="24">
        <f t="shared" ref="J66" si="15">IF(H66="S/STOCK","",IF($E66="",$D66*$H66,$E66*$H66))</f>
        <v>600</v>
      </c>
      <c r="K66" s="125">
        <v>44.2</v>
      </c>
      <c r="L66" s="125">
        <f>VLOOKUP($B66,CODIGOS!$A:$K,9,0)*$G66*1000</f>
        <v>0</v>
      </c>
      <c r="M66" s="125">
        <f>VLOOKUP($B66,CODIGOS!$A:$K,10,0)*$G66*1000</f>
        <v>5</v>
      </c>
      <c r="N66" s="221">
        <f>VLOOKUP($B66,CODIGOS!$A:$K,11,0)*$G66*1000</f>
        <v>0</v>
      </c>
    </row>
    <row r="67" spans="1:14" ht="13.5" thickBot="1" x14ac:dyDescent="0.25">
      <c r="A67" s="248" t="s">
        <v>317</v>
      </c>
      <c r="B67" s="122" t="str">
        <f>VLOOKUP($A67,NSN!$A:$B,2,FALSE)</f>
        <v>C902854</v>
      </c>
      <c r="C67" s="149" t="str">
        <f>VLOOKUP($A67,CODIGOS!$B:$E,4,FALSE)</f>
        <v>KG</v>
      </c>
      <c r="D67" s="150">
        <f t="shared" si="9"/>
        <v>1.1200000000000001</v>
      </c>
      <c r="E67" s="150" t="str">
        <f>IF(VLOOKUP($B67,CODIGOS!$A:$F,6,0)&lt;&gt;1000,(($F67*$I$3)/VLOOKUP($B67,CODIGOS!$A:$F,6,0)),"")</f>
        <v/>
      </c>
      <c r="F67" s="502">
        <v>14</v>
      </c>
      <c r="G67" s="137">
        <f>(F67/1000)*VLOOKUP($B67,CODIGOS!$A:$G,7,0)</f>
        <v>1.4E-2</v>
      </c>
      <c r="H67" s="222">
        <f>VLOOKUP($A67,CODIGOS!$B:$D,2,FALSE)</f>
        <v>4054</v>
      </c>
      <c r="I67" s="222">
        <f t="shared" si="11"/>
        <v>56.756000000000007</v>
      </c>
      <c r="J67" s="222">
        <f t="shared" si="10"/>
        <v>4540.4800000000005</v>
      </c>
      <c r="K67" s="137">
        <f>VLOOKUP($B67,CODIGOS!$A:$K,8,0)*$G67*1000</f>
        <v>50.960000000000008</v>
      </c>
      <c r="L67" s="137">
        <f>VLOOKUP($B67,CODIGOS!$A:$K,9,0)*$G67*1000</f>
        <v>2.8840000000000003</v>
      </c>
      <c r="M67" s="137">
        <f>VLOOKUP($B67,CODIGOS!$A:$K,10,0)*$G67*1000</f>
        <v>0.16800000000000001</v>
      </c>
      <c r="N67" s="223">
        <f>VLOOKUP($B67,CODIGOS!$A:$K,11,0)*$G67*1000</f>
        <v>9.7160000000000011</v>
      </c>
    </row>
    <row r="68" spans="1:14" ht="13.5" thickBot="1" x14ac:dyDescent="0.25">
      <c r="A68" s="17" t="s">
        <v>627</v>
      </c>
      <c r="B68" s="33"/>
      <c r="C68" s="18"/>
      <c r="D68" s="126"/>
      <c r="E68" s="126"/>
      <c r="F68" s="211"/>
      <c r="G68" s="19"/>
      <c r="H68" s="41"/>
      <c r="I68" s="224">
        <f t="shared" ref="I68:N68" si="16">SUM(I53:I67)</f>
        <v>1148.126</v>
      </c>
      <c r="J68" s="225">
        <f t="shared" si="16"/>
        <v>91850.079999999987</v>
      </c>
      <c r="K68" s="226">
        <f t="shared" si="16"/>
        <v>628.82410000000004</v>
      </c>
      <c r="L68" s="226">
        <f t="shared" si="16"/>
        <v>43.052720000000001</v>
      </c>
      <c r="M68" s="226">
        <f t="shared" si="16"/>
        <v>15.82282</v>
      </c>
      <c r="N68" s="227">
        <f t="shared" si="16"/>
        <v>70.913020000000003</v>
      </c>
    </row>
    <row r="69" spans="1:14" ht="13.5" thickBot="1" x14ac:dyDescent="0.25">
      <c r="A69" s="17" t="s">
        <v>627</v>
      </c>
      <c r="B69" s="17"/>
      <c r="C69" s="18"/>
      <c r="D69" s="19"/>
      <c r="E69" s="19"/>
      <c r="F69" s="213"/>
      <c r="G69" s="19"/>
      <c r="H69" s="26"/>
      <c r="I69" s="42"/>
      <c r="J69" s="42" t="s">
        <v>892</v>
      </c>
      <c r="K69" s="232">
        <f>K18+K51+K68</f>
        <v>2066.046789</v>
      </c>
      <c r="L69" s="233">
        <f>L18+L51+L68</f>
        <v>103.6100869</v>
      </c>
      <c r="M69" s="233">
        <f>M18+M51+M68</f>
        <v>52.488605199999995</v>
      </c>
      <c r="N69" s="234">
        <f>N18+N51+N68</f>
        <v>290.60766510000002</v>
      </c>
    </row>
    <row r="70" spans="1:14" ht="13.5" thickBot="1" x14ac:dyDescent="0.25">
      <c r="A70" s="17" t="s">
        <v>627</v>
      </c>
      <c r="B70" s="17"/>
      <c r="C70" s="17"/>
      <c r="D70" s="19"/>
      <c r="E70" s="19"/>
      <c r="F70" s="213"/>
      <c r="G70" s="19"/>
      <c r="H70" s="19"/>
      <c r="I70" s="19"/>
      <c r="J70" s="22"/>
      <c r="K70" s="22"/>
      <c r="L70" s="17"/>
      <c r="M70" s="17"/>
      <c r="N70" s="17"/>
    </row>
    <row r="71" spans="1:14" ht="26.25" thickBot="1" x14ac:dyDescent="0.25">
      <c r="A71" s="99" t="s">
        <v>17</v>
      </c>
      <c r="B71" s="100" t="s">
        <v>94</v>
      </c>
      <c r="C71" s="101" t="s">
        <v>18</v>
      </c>
      <c r="D71" s="101" t="s">
        <v>103</v>
      </c>
      <c r="E71" s="101"/>
      <c r="F71" s="214" t="s">
        <v>891</v>
      </c>
      <c r="G71" s="101" t="s">
        <v>91</v>
      </c>
      <c r="H71" s="101" t="s">
        <v>19</v>
      </c>
      <c r="I71" s="101" t="s">
        <v>45</v>
      </c>
      <c r="J71" s="102" t="s">
        <v>20</v>
      </c>
      <c r="K71" s="102" t="s">
        <v>43</v>
      </c>
      <c r="L71" s="103" t="s">
        <v>44</v>
      </c>
      <c r="M71" s="104" t="s">
        <v>207</v>
      </c>
      <c r="N71" s="105" t="s">
        <v>208</v>
      </c>
    </row>
    <row r="72" spans="1:14" ht="13.5" thickBot="1" x14ac:dyDescent="0.25">
      <c r="A72" s="106" t="s">
        <v>216</v>
      </c>
      <c r="B72" s="107"/>
      <c r="C72" s="107"/>
      <c r="D72" s="107"/>
      <c r="E72" s="107"/>
      <c r="F72" s="212"/>
      <c r="G72" s="107"/>
      <c r="H72" s="107"/>
      <c r="I72" s="107"/>
      <c r="J72" s="107"/>
      <c r="K72" s="107"/>
      <c r="L72" s="107"/>
      <c r="M72" s="107"/>
      <c r="N72" s="108"/>
    </row>
    <row r="73" spans="1:14" x14ac:dyDescent="0.2">
      <c r="A73" s="248" t="s">
        <v>410</v>
      </c>
      <c r="B73" s="141" t="str">
        <f>VLOOKUP($A73,NSN!$A:$B,2,FALSE)</f>
        <v>C000367</v>
      </c>
      <c r="C73" s="142" t="str">
        <f>VLOOKUP($A73,CODIGOS!$B:$E,4,FALSE)</f>
        <v>KG</v>
      </c>
      <c r="D73" s="143">
        <f>($F73*$I$3)/1000</f>
        <v>11.428800000000001</v>
      </c>
      <c r="E73" s="143" t="str">
        <f>IF(VLOOKUP($B73,CODIGOS!$A:$F,6,0)&lt;&gt;1000,(($F73*$I$3)/VLOOKUP($B73,CODIGOS!$A:$F,6,0)),"")</f>
        <v/>
      </c>
      <c r="F73" s="215">
        <v>142.86000000000001</v>
      </c>
      <c r="G73" s="144">
        <f>(F73/1000)*VLOOKUP($B73,CODIGOS!$A:$G,7,0)</f>
        <v>0.14286000000000001</v>
      </c>
      <c r="H73" s="25">
        <f>VLOOKUP($A73,CODIGOS!$B:$D,2,FALSE)</f>
        <v>794</v>
      </c>
      <c r="I73" s="25">
        <f>IF($H73="S/STOCK","",$J73/$I$3)</f>
        <v>113.43084000000002</v>
      </c>
      <c r="J73" s="25">
        <f>IF(H73="S/STOCK","",IF($E73="",$D73*$H73,$E73*$H73))</f>
        <v>9074.467200000001</v>
      </c>
      <c r="K73" s="144">
        <f>VLOOKUP($B73,CODIGOS!$A:$K,8,0)*$G73*1000</f>
        <v>497.15280000000007</v>
      </c>
      <c r="L73" s="144">
        <f>VLOOKUP($B73,CODIGOS!$A:$K,9,0)*$G73*1000</f>
        <v>11.428800000000001</v>
      </c>
      <c r="M73" s="144">
        <f>VLOOKUP($B73,CODIGOS!$A:$K,10,0)*$G73*1000</f>
        <v>1.7143200000000003</v>
      </c>
      <c r="N73" s="220">
        <f>VLOOKUP($B73,CODIGOS!$A:$K,11,0)*$G73*1000</f>
        <v>109.14504000000001</v>
      </c>
    </row>
    <row r="74" spans="1:14" x14ac:dyDescent="0.2">
      <c r="A74" s="248" t="s">
        <v>394</v>
      </c>
      <c r="B74" s="122" t="str">
        <f>VLOOKUP($A74,NSN!$A:$B,2,FALSE)</f>
        <v>C000816</v>
      </c>
      <c r="C74" s="123" t="str">
        <f>VLOOKUP($A74,CODIGOS!$B:$E,4,FALSE)</f>
        <v>KG</v>
      </c>
      <c r="D74" s="124">
        <f>($F74*$I$3)/1000</f>
        <v>0.11439999999999999</v>
      </c>
      <c r="E74" s="124" t="str">
        <f>IF(VLOOKUP($B74,CODIGOS!$A:$F,6,0)&lt;&gt;1000,(($F74*$I$3)/VLOOKUP($B74,CODIGOS!$A:$F,6,0)),"")</f>
        <v/>
      </c>
      <c r="F74" s="216">
        <v>1.43</v>
      </c>
      <c r="G74" s="125">
        <f>(F74/1000)*VLOOKUP($B74,CODIGOS!$A:$G,7,0)</f>
        <v>1.4299999999999998E-3</v>
      </c>
      <c r="H74" s="24">
        <f>VLOOKUP($A74,CODIGOS!$B:$D,2,FALSE)</f>
        <v>1128</v>
      </c>
      <c r="I74" s="24">
        <f>IF($H74="S/STOCK","",$J74/$I$3)</f>
        <v>1.6130399999999998</v>
      </c>
      <c r="J74" s="24">
        <f>IF(H74="S/STOCK","",IF($E74="",$D74*$H74,$E74*$H74))</f>
        <v>129.04319999999998</v>
      </c>
      <c r="K74" s="125">
        <f>VLOOKUP($B74,CODIGOS!$A:$K,8,0)*$G74*1000</f>
        <v>5.6913999999999989</v>
      </c>
      <c r="L74" s="125">
        <f>VLOOKUP($B74,CODIGOS!$A:$K,9,0)*$G74*1000</f>
        <v>0</v>
      </c>
      <c r="M74" s="125">
        <f>VLOOKUP($B74,CODIGOS!$A:$K,10,0)*$G74*1000</f>
        <v>0</v>
      </c>
      <c r="N74" s="221">
        <f>VLOOKUP($B74,CODIGOS!$A:$K,11,0)*$G74*1000</f>
        <v>1.4228499999999997</v>
      </c>
    </row>
    <row r="75" spans="1:14" x14ac:dyDescent="0.2">
      <c r="A75" s="248" t="s">
        <v>563</v>
      </c>
      <c r="B75" s="122" t="str">
        <f>VLOOKUP($A75,NSN!$A:$B,2,FALSE)</f>
        <v>V000518</v>
      </c>
      <c r="C75" s="123" t="str">
        <f>VLOOKUP($A75,CODIGOS!$B:$E,4,FALSE)</f>
        <v>EA</v>
      </c>
      <c r="D75" s="124">
        <f>($F75*$I$3)/1000</f>
        <v>0.68559999999999999</v>
      </c>
      <c r="E75" s="124" t="str">
        <f>IF(VLOOKUP($B75,CODIGOS!$A:$F,6,0)&lt;&gt;1000,(($F75*$I$3)/VLOOKUP($B75,CODIGOS!$A:$F,6,0)),"")</f>
        <v/>
      </c>
      <c r="F75" s="216">
        <v>8.57</v>
      </c>
      <c r="G75" s="125">
        <f>(F75/1000)*VLOOKUP($B75,CODIGOS!$A:$G,7,0)</f>
        <v>8.5699999999999995E-3</v>
      </c>
      <c r="H75" s="24">
        <f>VLOOKUP($A75,CODIGOS!$B:$D,2,FALSE)</f>
        <v>3203</v>
      </c>
      <c r="I75" s="24">
        <f>IF($H75="S/STOCK","",$J75/$I$3)</f>
        <v>27.44971</v>
      </c>
      <c r="J75" s="24">
        <f>IF(H75="S/STOCK","",IF($E75="",$D75*$H75,$E75*$H75))</f>
        <v>2195.9767999999999</v>
      </c>
      <c r="K75" s="125">
        <f>VLOOKUP($B75,CODIGOS!$A:$K,8,0)*$G75*1000</f>
        <v>76.872899999999987</v>
      </c>
      <c r="L75" s="125">
        <f>VLOOKUP($B75,CODIGOS!$A:$K,9,0)*$G75*1000</f>
        <v>0</v>
      </c>
      <c r="M75" s="125">
        <f>VLOOKUP($B75,CODIGOS!$A:$K,10,0)*$G75*1000</f>
        <v>8.5442900000000002</v>
      </c>
      <c r="N75" s="221">
        <f>VLOOKUP($B75,CODIGOS!$A:$K,11,0)*$G75*1000</f>
        <v>0</v>
      </c>
    </row>
    <row r="76" spans="1:14" x14ac:dyDescent="0.2">
      <c r="A76" s="248" t="s">
        <v>266</v>
      </c>
      <c r="B76" s="122" t="str">
        <f>VLOOKUP($A76,NSN!$A:$B,2,FALSE)</f>
        <v>V000174</v>
      </c>
      <c r="C76" s="123" t="str">
        <f>VLOOKUP($A76,CODIGOS!$B:$E,4,FALSE)</f>
        <v>KG</v>
      </c>
      <c r="D76" s="124">
        <f>($F76*$I$3)/1000</f>
        <v>0.11439999999999999</v>
      </c>
      <c r="E76" s="124" t="str">
        <f>IF(VLOOKUP($B76,CODIGOS!$A:$F,6,0)&lt;&gt;1000,(($F76*$I$3)/VLOOKUP($B76,CODIGOS!$A:$F,6,0)),"")</f>
        <v/>
      </c>
      <c r="F76" s="216">
        <v>1.43</v>
      </c>
      <c r="G76" s="125">
        <f>(F76/1000)*VLOOKUP($B76,CODIGOS!$A:$G,7,0)</f>
        <v>1.4299999999999998E-3</v>
      </c>
      <c r="H76" s="24">
        <f>VLOOKUP($A76,CODIGOS!$B:$D,2,FALSE)</f>
        <v>8887</v>
      </c>
      <c r="I76" s="24">
        <f>IF($H76="S/STOCK","",$J76/$I$3)</f>
        <v>12.708409999999999</v>
      </c>
      <c r="J76" s="24">
        <f>IF(H76="S/STOCK","",IF($E76="",$D76*$H76,$E76*$H76))</f>
        <v>1016.6727999999999</v>
      </c>
      <c r="K76" s="125">
        <f>VLOOKUP($B76,CODIGOS!$A:$K,8,0)*$G76*1000</f>
        <v>6.1489999999999991</v>
      </c>
      <c r="L76" s="125">
        <f>VLOOKUP($B76,CODIGOS!$A:$K,9,0)*$G76*1000</f>
        <v>0.67209999999999992</v>
      </c>
      <c r="M76" s="125">
        <f>VLOOKUP($B76,CODIGOS!$A:$K,10,0)*$G76*1000</f>
        <v>0.10009999999999999</v>
      </c>
      <c r="N76" s="221">
        <f>VLOOKUP($B76,CODIGOS!$A:$K,11,0)*$G76*1000</f>
        <v>0.51479999999999992</v>
      </c>
    </row>
    <row r="77" spans="1:14" ht="13.5" thickBot="1" x14ac:dyDescent="0.25">
      <c r="A77" s="248" t="s">
        <v>653</v>
      </c>
      <c r="B77" s="148" t="str">
        <f>VLOOKUP($A77,NSN!$A:$B,2,FALSE)</f>
        <v>C000528</v>
      </c>
      <c r="C77" s="149" t="str">
        <f>VLOOKUP($A77,CODIGOS!$B:$E,4,FALSE)</f>
        <v>KG</v>
      </c>
      <c r="D77" s="150">
        <f>($F77*$I$3)/1000</f>
        <v>0.16</v>
      </c>
      <c r="E77" s="150" t="str">
        <f>IF(VLOOKUP($B77,CODIGOS!$A:$F,6,0)&lt;&gt;1000,(($F77*$I$3)/VLOOKUP($B77,CODIGOS!$A:$F,6,0)),"")</f>
        <v/>
      </c>
      <c r="F77" s="217">
        <v>2</v>
      </c>
      <c r="G77" s="137">
        <f>(F77/1000)*VLOOKUP($B77,CODIGOS!$A:$G,7,0)</f>
        <v>2E-3</v>
      </c>
      <c r="H77" s="222">
        <f>VLOOKUP($A77,CODIGOS!$B:$D,2,FALSE)</f>
        <v>375</v>
      </c>
      <c r="I77" s="222">
        <f>IF($H77="S/STOCK","",$J77/$I$3)</f>
        <v>0.75</v>
      </c>
      <c r="J77" s="222">
        <f>IF(H77="S/STOCK","",IF($E77="",$D77*$H77,$E77*$H77))</f>
        <v>60</v>
      </c>
      <c r="K77" s="137">
        <f>VLOOKUP($B77,CODIGOS!$A:$K,8,0)*$G77*1000</f>
        <v>0</v>
      </c>
      <c r="L77" s="137">
        <f>VLOOKUP($B77,CODIGOS!$A:$K,9,0)*$G77*1000</f>
        <v>0</v>
      </c>
      <c r="M77" s="137">
        <f>VLOOKUP($B77,CODIGOS!$A:$K,10,0)*$G77*1000</f>
        <v>0</v>
      </c>
      <c r="N77" s="223">
        <f>VLOOKUP($B77,CODIGOS!$A:$K,11,0)*$G77*1000</f>
        <v>0</v>
      </c>
    </row>
    <row r="78" spans="1:14" ht="13.5" thickBot="1" x14ac:dyDescent="0.25">
      <c r="A78" s="17" t="s">
        <v>627</v>
      </c>
      <c r="B78" s="33"/>
      <c r="C78" s="18"/>
      <c r="D78" s="126"/>
      <c r="E78" s="126"/>
      <c r="F78" s="211"/>
      <c r="G78" s="19"/>
      <c r="H78" s="41"/>
      <c r="I78" s="224">
        <f t="shared" ref="I78:N78" si="17">SUM(I73:I77)</f>
        <v>155.952</v>
      </c>
      <c r="J78" s="225">
        <f t="shared" si="17"/>
        <v>12476.160000000002</v>
      </c>
      <c r="K78" s="226">
        <f t="shared" si="17"/>
        <v>585.86610000000007</v>
      </c>
      <c r="L78" s="226">
        <f t="shared" si="17"/>
        <v>12.100900000000001</v>
      </c>
      <c r="M78" s="226">
        <f t="shared" si="17"/>
        <v>10.35871</v>
      </c>
      <c r="N78" s="227">
        <f t="shared" si="17"/>
        <v>111.08269</v>
      </c>
    </row>
    <row r="79" spans="1:14" x14ac:dyDescent="0.2">
      <c r="A79" s="37" t="s">
        <v>627</v>
      </c>
      <c r="B79" s="33"/>
      <c r="C79" s="18"/>
      <c r="D79" s="19"/>
      <c r="E79" s="19"/>
      <c r="F79" s="213"/>
      <c r="G79" s="19"/>
      <c r="H79" s="41"/>
      <c r="I79" s="39"/>
      <c r="J79" s="39"/>
      <c r="K79" s="39"/>
      <c r="L79" s="17"/>
      <c r="M79" s="17"/>
      <c r="N79" s="17"/>
    </row>
    <row r="80" spans="1:14" x14ac:dyDescent="0.2">
      <c r="A80" s="37"/>
      <c r="B80" s="37"/>
      <c r="C80" s="37"/>
      <c r="D80" s="39"/>
      <c r="E80" s="39"/>
      <c r="F80" s="39"/>
      <c r="G80" s="39"/>
      <c r="H80" s="39"/>
      <c r="I80" s="39"/>
      <c r="J80" s="39"/>
      <c r="K80" s="39"/>
      <c r="L80" s="17"/>
      <c r="M80" s="17"/>
      <c r="N80" s="17"/>
    </row>
    <row r="81" spans="1:14" x14ac:dyDescent="0.2">
      <c r="A81" s="37"/>
      <c r="B81" s="37"/>
      <c r="C81" s="37"/>
      <c r="D81" s="39"/>
      <c r="E81" s="39"/>
      <c r="F81" s="39"/>
      <c r="G81" s="39"/>
      <c r="H81" s="39"/>
      <c r="I81" s="39"/>
      <c r="J81" s="39"/>
      <c r="K81" s="39"/>
      <c r="L81" s="17"/>
      <c r="M81" s="17"/>
      <c r="N81" s="17"/>
    </row>
    <row r="82" spans="1:14" x14ac:dyDescent="0.2">
      <c r="A82" s="37"/>
      <c r="B82" s="37"/>
      <c r="C82" s="37"/>
      <c r="D82" s="39"/>
      <c r="E82" s="39"/>
      <c r="F82" s="39"/>
      <c r="G82" s="39"/>
      <c r="H82" s="39"/>
      <c r="I82" s="39"/>
      <c r="J82" s="39"/>
      <c r="K82" s="39"/>
      <c r="L82" s="17"/>
      <c r="M82" s="17"/>
      <c r="N82" s="17"/>
    </row>
    <row r="83" spans="1:14" x14ac:dyDescent="0.2">
      <c r="A83" s="37"/>
      <c r="B83" s="37"/>
      <c r="C83" s="37"/>
      <c r="D83" s="39"/>
      <c r="E83" s="39"/>
      <c r="F83" s="39"/>
      <c r="G83" s="39"/>
      <c r="H83" s="39"/>
      <c r="I83" s="39"/>
      <c r="J83" s="39"/>
      <c r="K83" s="39"/>
      <c r="L83" s="17"/>
      <c r="M83" s="17"/>
      <c r="N83" s="17"/>
    </row>
    <row r="84" spans="1:14" x14ac:dyDescent="0.2">
      <c r="A84" s="37"/>
      <c r="B84" s="37"/>
      <c r="C84" s="37"/>
      <c r="D84" s="187"/>
      <c r="E84" s="187"/>
      <c r="F84" s="187"/>
      <c r="G84" s="39"/>
      <c r="H84" s="39"/>
      <c r="I84" s="39"/>
      <c r="J84" s="39"/>
      <c r="K84" s="39"/>
      <c r="L84" s="17"/>
      <c r="M84" s="17"/>
      <c r="N84" s="17"/>
    </row>
    <row r="85" spans="1:14" x14ac:dyDescent="0.2">
      <c r="A85" s="37"/>
      <c r="B85" s="37"/>
      <c r="C85" s="37"/>
      <c r="D85" s="187"/>
      <c r="E85" s="187"/>
      <c r="F85" s="187"/>
      <c r="G85" s="39"/>
      <c r="H85" s="39"/>
      <c r="I85" s="39"/>
      <c r="J85" s="39"/>
      <c r="K85" s="39"/>
      <c r="L85" s="17"/>
      <c r="M85" s="17"/>
      <c r="N85" s="17"/>
    </row>
    <row r="86" spans="1:14" x14ac:dyDescent="0.2">
      <c r="A86" s="37"/>
      <c r="B86" s="37"/>
      <c r="C86" s="37"/>
      <c r="D86" s="39"/>
      <c r="E86" s="39"/>
      <c r="F86" s="39"/>
      <c r="G86" s="39"/>
      <c r="H86" s="39"/>
      <c r="I86" s="39"/>
      <c r="J86" s="39"/>
      <c r="K86" s="39"/>
      <c r="L86" s="17"/>
      <c r="M86" s="17"/>
      <c r="N86" s="17"/>
    </row>
    <row r="87" spans="1:14" x14ac:dyDescent="0.2">
      <c r="A87" s="37"/>
      <c r="B87" s="37"/>
      <c r="C87" s="37"/>
      <c r="D87" s="39"/>
      <c r="E87" s="39"/>
      <c r="F87" s="39"/>
      <c r="G87" s="39"/>
      <c r="H87" s="39"/>
      <c r="I87" s="39"/>
      <c r="J87" s="39"/>
      <c r="K87" s="39"/>
      <c r="L87" s="17"/>
      <c r="M87" s="17"/>
      <c r="N87" s="17"/>
    </row>
    <row r="88" spans="1:14" x14ac:dyDescent="0.2">
      <c r="A88" s="37"/>
      <c r="B88" s="37"/>
      <c r="C88" s="37"/>
      <c r="D88" s="39"/>
      <c r="E88" s="39"/>
      <c r="F88" s="39"/>
      <c r="G88" s="39"/>
      <c r="H88" s="39"/>
      <c r="I88" s="39"/>
      <c r="J88" s="39"/>
      <c r="K88" s="39"/>
      <c r="L88" s="17"/>
      <c r="M88" s="17"/>
      <c r="N88" s="17"/>
    </row>
    <row r="89" spans="1:14" x14ac:dyDescent="0.2">
      <c r="A89" s="37"/>
      <c r="B89" s="37"/>
      <c r="C89" s="37"/>
      <c r="D89" s="39"/>
      <c r="E89" s="39"/>
      <c r="F89" s="39"/>
      <c r="G89" s="39"/>
      <c r="H89" s="39"/>
      <c r="I89" s="39"/>
      <c r="J89" s="39"/>
      <c r="K89" s="39"/>
      <c r="L89" s="17"/>
      <c r="M89" s="17"/>
      <c r="N89" s="17"/>
    </row>
    <row r="90" spans="1:14" x14ac:dyDescent="0.2">
      <c r="A90" s="37"/>
      <c r="B90" s="37"/>
      <c r="C90" s="37"/>
      <c r="D90" s="39"/>
      <c r="E90" s="39"/>
      <c r="F90" s="39"/>
      <c r="G90" s="39"/>
      <c r="H90" s="39"/>
      <c r="I90" s="39"/>
      <c r="J90" s="39"/>
      <c r="K90" s="39"/>
      <c r="L90" s="17"/>
      <c r="M90" s="17"/>
      <c r="N90" s="17"/>
    </row>
    <row r="91" spans="1:14" x14ac:dyDescent="0.2">
      <c r="A91" s="37"/>
      <c r="B91" s="37"/>
      <c r="C91" s="37"/>
      <c r="D91" s="39"/>
      <c r="E91" s="39"/>
      <c r="F91" s="39"/>
      <c r="G91" s="39"/>
      <c r="H91" s="39"/>
      <c r="I91" s="39"/>
      <c r="J91" s="39"/>
      <c r="K91" s="39"/>
      <c r="L91" s="17"/>
      <c r="M91" s="17"/>
      <c r="N91" s="17"/>
    </row>
    <row r="92" spans="1:14" x14ac:dyDescent="0.2">
      <c r="A92" s="37"/>
      <c r="B92" s="37"/>
      <c r="C92" s="37"/>
      <c r="D92" s="39"/>
      <c r="E92" s="39"/>
      <c r="F92" s="39"/>
      <c r="G92" s="39"/>
      <c r="H92" s="39"/>
      <c r="I92" s="39"/>
      <c r="J92" s="39"/>
      <c r="K92" s="39"/>
      <c r="L92" s="17"/>
      <c r="M92" s="17"/>
      <c r="N92" s="17"/>
    </row>
    <row r="93" spans="1:14" x14ac:dyDescent="0.2">
      <c r="A93" s="37"/>
      <c r="B93" s="37"/>
      <c r="C93" s="37"/>
      <c r="D93" s="39"/>
      <c r="E93" s="39"/>
      <c r="F93" s="39"/>
      <c r="G93" s="39"/>
      <c r="H93" s="39"/>
      <c r="I93" s="39"/>
      <c r="J93" s="39"/>
      <c r="K93" s="39"/>
      <c r="L93" s="17"/>
      <c r="M93" s="17"/>
      <c r="N93" s="17"/>
    </row>
    <row r="94" spans="1:14" x14ac:dyDescent="0.2">
      <c r="A94" s="37"/>
      <c r="B94" s="37"/>
      <c r="C94" s="37"/>
      <c r="D94" s="39"/>
      <c r="E94" s="39"/>
      <c r="F94" s="39"/>
      <c r="G94" s="39"/>
      <c r="H94" s="39"/>
      <c r="I94" s="39"/>
      <c r="J94" s="39"/>
      <c r="K94" s="39"/>
      <c r="L94" s="17"/>
      <c r="M94" s="17"/>
      <c r="N94" s="17"/>
    </row>
    <row r="95" spans="1:14" x14ac:dyDescent="0.2">
      <c r="A95" s="37"/>
      <c r="B95" s="37"/>
      <c r="C95" s="37"/>
      <c r="D95" s="39"/>
      <c r="E95" s="39"/>
      <c r="F95" s="39"/>
      <c r="G95" s="39"/>
      <c r="H95" s="39"/>
      <c r="I95" s="39"/>
      <c r="J95" s="39"/>
      <c r="K95" s="39"/>
      <c r="L95" s="17"/>
      <c r="M95" s="17"/>
      <c r="N95" s="17"/>
    </row>
    <row r="96" spans="1:14" x14ac:dyDescent="0.2">
      <c r="A96" s="37"/>
      <c r="B96" s="37"/>
      <c r="C96" s="37"/>
      <c r="D96" s="39"/>
      <c r="E96" s="39"/>
      <c r="F96" s="39"/>
      <c r="G96" s="39"/>
      <c r="H96" s="39"/>
      <c r="I96" s="39"/>
      <c r="J96" s="39"/>
      <c r="K96" s="39"/>
      <c r="L96" s="17"/>
      <c r="M96" s="17"/>
      <c r="N96" s="17"/>
    </row>
    <row r="97" spans="1:14" x14ac:dyDescent="0.2">
      <c r="A97" s="37"/>
      <c r="B97" s="37"/>
      <c r="C97" s="37"/>
      <c r="D97" s="39"/>
      <c r="E97" s="39"/>
      <c r="F97" s="39"/>
      <c r="G97" s="39"/>
      <c r="H97" s="39"/>
      <c r="I97" s="39"/>
      <c r="J97" s="39"/>
      <c r="K97" s="39"/>
      <c r="L97" s="17"/>
      <c r="M97" s="17"/>
      <c r="N97" s="17"/>
    </row>
    <row r="98" spans="1:14" x14ac:dyDescent="0.2">
      <c r="A98" s="37"/>
      <c r="B98" s="37"/>
      <c r="C98" s="37"/>
      <c r="D98" s="39"/>
      <c r="E98" s="39"/>
      <c r="F98" s="39"/>
      <c r="G98" s="39"/>
      <c r="H98" s="39"/>
      <c r="I98" s="39"/>
      <c r="J98" s="39"/>
      <c r="K98" s="39"/>
      <c r="L98" s="17"/>
      <c r="M98" s="17"/>
      <c r="N98" s="17"/>
    </row>
    <row r="99" spans="1:14" x14ac:dyDescent="0.2">
      <c r="A99" s="37"/>
      <c r="B99" s="37"/>
      <c r="C99" s="37"/>
      <c r="D99" s="39"/>
      <c r="E99" s="39"/>
      <c r="F99" s="39"/>
      <c r="G99" s="39"/>
      <c r="H99" s="39"/>
      <c r="I99" s="39"/>
      <c r="J99" s="39"/>
      <c r="K99" s="39"/>
      <c r="L99" s="17"/>
      <c r="M99" s="17"/>
      <c r="N99" s="17"/>
    </row>
    <row r="100" spans="1:14" x14ac:dyDescent="0.2">
      <c r="A100" s="37"/>
      <c r="B100" s="37"/>
      <c r="C100" s="37"/>
      <c r="D100" s="39"/>
      <c r="E100" s="39"/>
      <c r="F100" s="39"/>
      <c r="G100" s="39"/>
      <c r="H100" s="39"/>
      <c r="I100" s="39"/>
      <c r="J100" s="39"/>
      <c r="K100" s="39"/>
      <c r="L100" s="17"/>
      <c r="M100" s="17"/>
      <c r="N100" s="17"/>
    </row>
    <row r="101" spans="1:14" x14ac:dyDescent="0.2">
      <c r="A101" s="37"/>
      <c r="B101" s="37"/>
      <c r="C101" s="37"/>
      <c r="D101" s="39"/>
      <c r="E101" s="39"/>
      <c r="F101" s="39"/>
      <c r="G101" s="39"/>
      <c r="H101" s="39"/>
      <c r="I101" s="39"/>
      <c r="J101" s="39"/>
      <c r="K101" s="39"/>
      <c r="L101" s="17"/>
      <c r="M101" s="17"/>
      <c r="N101" s="17"/>
    </row>
    <row r="102" spans="1:14" x14ac:dyDescent="0.2">
      <c r="D102" s="93"/>
      <c r="E102" s="93"/>
      <c r="F102" s="93"/>
    </row>
    <row r="103" spans="1:14" x14ac:dyDescent="0.2">
      <c r="D103" s="93"/>
      <c r="E103" s="93"/>
      <c r="F103" s="93"/>
    </row>
  </sheetData>
  <mergeCells count="4">
    <mergeCell ref="Q10:T10"/>
    <mergeCell ref="G2:H2"/>
    <mergeCell ref="G3:H3"/>
    <mergeCell ref="A1:N1"/>
  </mergeCells>
  <phoneticPr fontId="3" type="noConversion"/>
  <conditionalFormatting sqref="A12:A17 A53:A67">
    <cfRule type="expression" dxfId="375" priority="91" stopIfTrue="1">
      <formula>$H12="S/STOCK"</formula>
    </cfRule>
  </conditionalFormatting>
  <conditionalFormatting sqref="A20:A50">
    <cfRule type="expression" dxfId="374" priority="90" stopIfTrue="1">
      <formula>$H20="S/STOCK"</formula>
    </cfRule>
  </conditionalFormatting>
  <conditionalFormatting sqref="A73:A77">
    <cfRule type="expression" dxfId="373" priority="88" stopIfTrue="1">
      <formula>$H73="S/STOCK"</formula>
    </cfRule>
  </conditionalFormatting>
  <conditionalFormatting sqref="A31">
    <cfRule type="expression" dxfId="372" priority="87" stopIfTrue="1">
      <formula>$H31="S/STOCK"</formula>
    </cfRule>
  </conditionalFormatting>
  <conditionalFormatting sqref="A50">
    <cfRule type="expression" dxfId="371" priority="86" stopIfTrue="1">
      <formula>$H50="S/STOCK"</formula>
    </cfRule>
  </conditionalFormatting>
  <conditionalFormatting sqref="A67">
    <cfRule type="expression" dxfId="370" priority="37" stopIfTrue="1">
      <formula>$H67="S/STOCK"</formula>
    </cfRule>
  </conditionalFormatting>
  <conditionalFormatting sqref="A62">
    <cfRule type="expression" dxfId="369" priority="16" stopIfTrue="1">
      <formula>$H62="S/STOCK"</formula>
    </cfRule>
  </conditionalFormatting>
  <conditionalFormatting sqref="A62">
    <cfRule type="expression" dxfId="368" priority="15" stopIfTrue="1">
      <formula>$H62="S/STOCK"</formula>
    </cfRule>
  </conditionalFormatting>
  <conditionalFormatting sqref="A57">
    <cfRule type="expression" dxfId="367" priority="12" stopIfTrue="1">
      <formula>$H57="S/STOCK"</formula>
    </cfRule>
  </conditionalFormatting>
  <conditionalFormatting sqref="A57">
    <cfRule type="expression" dxfId="366" priority="11" stopIfTrue="1">
      <formula>$H57="S/STOCK"</formula>
    </cfRule>
  </conditionalFormatting>
  <conditionalFormatting sqref="A60">
    <cfRule type="expression" dxfId="365" priority="10" stopIfTrue="1">
      <formula>$H60="S/STOCK"</formula>
    </cfRule>
  </conditionalFormatting>
  <conditionalFormatting sqref="A60">
    <cfRule type="expression" dxfId="364" priority="9" stopIfTrue="1">
      <formula>$H60="S/STOCK"</formula>
    </cfRule>
  </conditionalFormatting>
  <conditionalFormatting sqref="A59">
    <cfRule type="expression" dxfId="363" priority="8" stopIfTrue="1">
      <formula>$H59="S/STOCK"</formula>
    </cfRule>
  </conditionalFormatting>
  <conditionalFormatting sqref="A59">
    <cfRule type="expression" dxfId="362" priority="7" stopIfTrue="1">
      <formula>$H59="S/STOCK"</formula>
    </cfRule>
  </conditionalFormatting>
  <conditionalFormatting sqref="A65">
    <cfRule type="expression" dxfId="361" priority="6" stopIfTrue="1">
      <formula>$H65="S/STOCK"</formula>
    </cfRule>
  </conditionalFormatting>
  <conditionalFormatting sqref="A65">
    <cfRule type="expression" dxfId="360" priority="5" stopIfTrue="1">
      <formula>$H65="S/STOCK"</formula>
    </cfRule>
  </conditionalFormatting>
  <conditionalFormatting sqref="A63">
    <cfRule type="expression" dxfId="359" priority="4" stopIfTrue="1">
      <formula>$H63="S/STOCK"</formula>
    </cfRule>
  </conditionalFormatting>
  <conditionalFormatting sqref="A63">
    <cfRule type="expression" dxfId="358" priority="3" stopIfTrue="1">
      <formula>$H63="S/STOCK"</formula>
    </cfRule>
  </conditionalFormatting>
  <conditionalFormatting sqref="A61">
    <cfRule type="expression" dxfId="357" priority="2" stopIfTrue="1">
      <formula>$H61="S/STOCK"</formula>
    </cfRule>
  </conditionalFormatting>
  <conditionalFormatting sqref="A61">
    <cfRule type="expression" dxfId="356" priority="1" stopIfTrue="1">
      <formula>$H61="S/STOCK"</formula>
    </cfRule>
  </conditionalFormatting>
  <dataValidations count="1">
    <dataValidation type="list" allowBlank="1" showInputMessage="1" showErrorMessage="1" sqref="A73:A77 A53:A67 A12:A17 A20:A50">
      <formula1>INGREDIENTES</formula1>
    </dataValidation>
  </dataValidations>
  <pageMargins left="0.25" right="0.25" top="0.75" bottom="0.75" header="0.3" footer="0.3"/>
  <pageSetup scale="46" firstPageNumber="0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Y88"/>
  <sheetViews>
    <sheetView showGridLines="0" zoomScale="80" zoomScaleNormal="80" zoomScaleSheetLayoutView="80" workbookViewId="0">
      <selection sqref="A1:N1"/>
    </sheetView>
  </sheetViews>
  <sheetFormatPr baseColWidth="10" defaultColWidth="11.42578125" defaultRowHeight="12.75" x14ac:dyDescent="0.2"/>
  <cols>
    <col min="1" max="1" width="41.28515625" style="28" bestFit="1" customWidth="1"/>
    <col min="2" max="3" width="14.7109375" style="28" customWidth="1"/>
    <col min="4" max="10" width="14.7109375" style="36" customWidth="1"/>
    <col min="11" max="14" width="14.7109375" style="28" customWidth="1"/>
    <col min="15" max="15" width="6" style="28" customWidth="1"/>
    <col min="16" max="16" width="13.42578125" style="28" customWidth="1"/>
    <col min="17" max="17" width="24.28515625" style="28" bestFit="1" customWidth="1"/>
    <col min="18" max="18" width="11.42578125" style="28"/>
    <col min="19" max="19" width="12.140625" style="28" customWidth="1"/>
    <col min="20" max="20" width="14.140625" style="28" customWidth="1"/>
    <col min="21" max="21" width="14.85546875" style="28" customWidth="1"/>
    <col min="22" max="22" width="14.140625" style="28" customWidth="1"/>
    <col min="23" max="23" width="17.140625" style="28" customWidth="1"/>
    <col min="24" max="24" width="12.42578125" style="28" customWidth="1"/>
    <col min="25" max="16384" width="11.42578125" style="28"/>
  </cols>
  <sheetData>
    <row r="1" spans="1:155" ht="20.25" customHeight="1" thickBot="1" x14ac:dyDescent="0.25">
      <c r="A1" s="586" t="s">
        <v>6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157"/>
      <c r="P1" s="62"/>
      <c r="Q1" s="21"/>
      <c r="R1" s="21"/>
      <c r="S1" s="21"/>
      <c r="T1" s="21"/>
    </row>
    <row r="2" spans="1:155" ht="40.5" customHeight="1" x14ac:dyDescent="0.2">
      <c r="A2" s="63" t="s">
        <v>42</v>
      </c>
      <c r="B2" s="281" t="str">
        <f>'MENU COMÚN'!E6</f>
        <v>LECHE-TÉ- CAFÉ</v>
      </c>
      <c r="C2" s="280"/>
      <c r="D2" s="281" t="str">
        <f>'MENU COMÚN'!E7</f>
        <v>PAN (100 GR) C/ MERMELADA DURAZNO</v>
      </c>
      <c r="E2" s="281"/>
      <c r="F2" s="22"/>
      <c r="G2" s="592" t="s">
        <v>386</v>
      </c>
      <c r="H2" s="593"/>
      <c r="I2" s="218">
        <f>LUNES!$I$2</f>
        <v>200</v>
      </c>
      <c r="K2" s="62"/>
      <c r="L2" s="62"/>
      <c r="M2" s="62"/>
      <c r="N2" s="62"/>
      <c r="O2" s="62"/>
      <c r="P2" s="62"/>
      <c r="Q2" s="23"/>
      <c r="R2" s="27"/>
      <c r="S2" s="17"/>
      <c r="T2" s="17"/>
      <c r="U2" s="17"/>
      <c r="V2" s="17"/>
      <c r="W2" s="17"/>
      <c r="X2" s="17"/>
    </row>
    <row r="3" spans="1:155" ht="13.5" customHeight="1" thickBot="1" x14ac:dyDescent="0.25">
      <c r="A3" s="63" t="s">
        <v>21</v>
      </c>
      <c r="B3" s="22" t="str">
        <f>'MENU COMÚN'!E9</f>
        <v>SOPA DE AVE NATURAL</v>
      </c>
      <c r="C3" s="62"/>
      <c r="D3" s="22"/>
      <c r="E3" s="22"/>
      <c r="F3" s="22"/>
      <c r="G3" s="594" t="s">
        <v>134</v>
      </c>
      <c r="H3" s="595"/>
      <c r="I3" s="219">
        <f>LUNES!$I$3</f>
        <v>80</v>
      </c>
      <c r="K3" s="62"/>
      <c r="L3" s="62"/>
      <c r="M3" s="62"/>
      <c r="N3" s="62"/>
      <c r="O3" s="62"/>
      <c r="P3" s="62"/>
      <c r="Q3" s="17"/>
      <c r="R3" s="21"/>
    </row>
    <row r="4" spans="1:155" ht="13.5" customHeight="1" x14ac:dyDescent="0.2">
      <c r="A4" s="63"/>
      <c r="B4" s="263" t="str">
        <f>'MENU COMÚN'!E13</f>
        <v>1° Y 3° SEMANA: STROGONOFF DE CERDO                                                                                                                     CON MOSTACHOLIS PEREJIL                                                                                                                                          2° Y 4° SEMANA CARNE MECHADA                                                                                                                                            CON FIDEOS CILANTRO</v>
      </c>
      <c r="C4" s="264"/>
      <c r="D4" s="22"/>
      <c r="E4" s="22"/>
      <c r="F4" s="22"/>
      <c r="G4" s="22"/>
      <c r="H4" s="26"/>
      <c r="I4" s="26"/>
      <c r="J4" s="57"/>
      <c r="K4" s="62"/>
      <c r="L4" s="62"/>
      <c r="M4" s="62"/>
      <c r="N4" s="62"/>
      <c r="O4" s="62"/>
      <c r="P4" s="62"/>
    </row>
    <row r="5" spans="1:155" ht="13.5" customHeight="1" x14ac:dyDescent="0.2">
      <c r="A5" s="63"/>
      <c r="B5" s="263" t="str">
        <f>'MENU COMÚN'!E14</f>
        <v>JALEA FRAMBUESA</v>
      </c>
      <c r="C5" s="29"/>
      <c r="D5" s="22"/>
      <c r="E5" s="22"/>
      <c r="F5" s="22"/>
      <c r="G5" s="22"/>
      <c r="H5" s="22"/>
      <c r="I5" s="22"/>
      <c r="J5" s="22"/>
      <c r="K5" s="30"/>
      <c r="L5" s="62"/>
      <c r="M5" s="62"/>
      <c r="N5" s="62"/>
      <c r="O5" s="62"/>
      <c r="P5" s="62"/>
      <c r="Q5" s="21"/>
      <c r="R5" s="189"/>
    </row>
    <row r="6" spans="1:155" ht="13.5" customHeight="1" x14ac:dyDescent="0.2">
      <c r="A6" s="63"/>
      <c r="C6" s="21"/>
      <c r="D6" s="22"/>
      <c r="E6" s="22"/>
      <c r="F6" s="22"/>
      <c r="G6" s="22"/>
      <c r="H6" s="31"/>
      <c r="I6" s="31"/>
      <c r="J6" s="22"/>
      <c r="K6" s="30"/>
      <c r="L6" s="30"/>
      <c r="M6" s="30"/>
      <c r="N6" s="30"/>
      <c r="O6" s="30"/>
      <c r="P6" s="30"/>
      <c r="Q6" s="198" t="s">
        <v>893</v>
      </c>
      <c r="R6" s="186"/>
    </row>
    <row r="7" spans="1:155" ht="25.5" x14ac:dyDescent="0.2">
      <c r="A7" s="63" t="s">
        <v>23</v>
      </c>
      <c r="B7" s="22" t="str">
        <f>'MENU COMÚN'!E17</f>
        <v>CREMA DESHIDRATADA</v>
      </c>
      <c r="C7" s="21"/>
      <c r="D7" s="22"/>
      <c r="E7" s="22"/>
      <c r="F7" s="22"/>
      <c r="G7" s="22"/>
      <c r="H7" s="31"/>
      <c r="I7" s="31"/>
      <c r="J7" s="22"/>
      <c r="K7" s="30"/>
      <c r="L7" s="30"/>
      <c r="M7" s="30"/>
      <c r="N7" s="30"/>
      <c r="O7" s="30"/>
      <c r="P7" s="30"/>
      <c r="Q7" s="199">
        <v>0</v>
      </c>
      <c r="R7" s="168" t="s">
        <v>127</v>
      </c>
      <c r="S7" s="168" t="s">
        <v>128</v>
      </c>
      <c r="T7" s="169" t="s">
        <v>129</v>
      </c>
      <c r="U7" s="168" t="s">
        <v>130</v>
      </c>
      <c r="V7" s="168" t="s">
        <v>131</v>
      </c>
      <c r="W7" s="168" t="s">
        <v>132</v>
      </c>
      <c r="X7" s="168" t="s">
        <v>133</v>
      </c>
    </row>
    <row r="8" spans="1:155" ht="13.5" customHeight="1" x14ac:dyDescent="0.2">
      <c r="A8" s="63"/>
      <c r="B8" s="263" t="str">
        <f>'MENU COMÚN'!E21</f>
        <v xml:space="preserve"> ZAPALLITOS RELLENOS CON PAPAS FRITAS                                                                                          (CARNE MOLIDA)                                                                                                                                                                 ALTERNATIVA: PASTEL DE ZAPALLITOS                                                                                                                  CON PAPAS RÚSTICAS                                                        </v>
      </c>
      <c r="C8" s="263"/>
      <c r="D8" s="263"/>
      <c r="E8" s="263"/>
      <c r="F8" s="263"/>
      <c r="G8" s="263"/>
      <c r="H8" s="263"/>
      <c r="I8" s="22"/>
      <c r="J8" s="22"/>
      <c r="K8" s="30"/>
      <c r="L8" s="30"/>
      <c r="M8" s="30"/>
      <c r="N8" s="30"/>
      <c r="O8" s="30"/>
      <c r="P8" s="196">
        <f>LUNES!P8</f>
        <v>2065</v>
      </c>
      <c r="Q8" s="162" t="s">
        <v>388</v>
      </c>
      <c r="R8" s="158">
        <f>I40</f>
        <v>1111.1398809523812</v>
      </c>
      <c r="S8" s="158">
        <f>+$P$8+($P$8*$Q$7)</f>
        <v>2065</v>
      </c>
      <c r="T8" s="159">
        <f>+$I$2-$I$3</f>
        <v>120</v>
      </c>
      <c r="U8" s="158">
        <f>$R$8*$T$8</f>
        <v>133336.78571428574</v>
      </c>
      <c r="V8" s="158">
        <f>$S$8*$T$8</f>
        <v>247800</v>
      </c>
      <c r="W8" s="158">
        <f>$V$8-$U$8</f>
        <v>114463.21428571426</v>
      </c>
      <c r="X8" s="160">
        <f>$W$8/$V$8</f>
        <v>0.46191773319497281</v>
      </c>
    </row>
    <row r="9" spans="1:155" ht="13.5" customHeight="1" thickBot="1" x14ac:dyDescent="0.25">
      <c r="A9" s="63"/>
      <c r="B9" s="263" t="str">
        <f>'MENU COMÚN'!E22</f>
        <v>FLAN DE VAINILLA</v>
      </c>
      <c r="C9" s="21"/>
      <c r="D9" s="22"/>
      <c r="E9" s="22"/>
      <c r="F9" s="22"/>
      <c r="G9" s="22"/>
      <c r="H9" s="31"/>
      <c r="I9" s="31"/>
      <c r="J9" s="22"/>
      <c r="K9" s="30"/>
      <c r="L9" s="30"/>
      <c r="M9" s="30"/>
      <c r="N9" s="30"/>
      <c r="O9" s="30"/>
      <c r="P9" s="196">
        <f>LUNES!P9</f>
        <v>2429</v>
      </c>
      <c r="Q9" s="162" t="s">
        <v>134</v>
      </c>
      <c r="R9" s="158">
        <f>I18+I40+I57</f>
        <v>3216.6670714285715</v>
      </c>
      <c r="S9" s="158">
        <f>+$P$9+($P$9*$Q$7)</f>
        <v>2429</v>
      </c>
      <c r="T9" s="167">
        <f>+$I$3</f>
        <v>80</v>
      </c>
      <c r="U9" s="158">
        <f>$R$9*$T$9</f>
        <v>257333.36571428573</v>
      </c>
      <c r="V9" s="158">
        <f>$S$9*$T$9</f>
        <v>194320</v>
      </c>
      <c r="W9" s="161">
        <f>$V$9-$U$9</f>
        <v>-63013.365714285726</v>
      </c>
      <c r="X9" s="160">
        <f>$W$9/$V$9</f>
        <v>-0.32427627477503979</v>
      </c>
    </row>
    <row r="10" spans="1:155" s="17" customFormat="1" ht="26.25" thickBot="1" x14ac:dyDescent="0.25">
      <c r="A10" s="99" t="s">
        <v>17</v>
      </c>
      <c r="B10" s="100" t="s">
        <v>94</v>
      </c>
      <c r="C10" s="101" t="s">
        <v>18</v>
      </c>
      <c r="D10" s="101" t="s">
        <v>103</v>
      </c>
      <c r="E10" s="101"/>
      <c r="F10" s="101" t="s">
        <v>891</v>
      </c>
      <c r="G10" s="101" t="s">
        <v>91</v>
      </c>
      <c r="H10" s="101" t="s">
        <v>19</v>
      </c>
      <c r="I10" s="101" t="s">
        <v>45</v>
      </c>
      <c r="J10" s="102" t="s">
        <v>20</v>
      </c>
      <c r="K10" s="102" t="s">
        <v>43</v>
      </c>
      <c r="L10" s="103" t="s">
        <v>44</v>
      </c>
      <c r="M10" s="104" t="s">
        <v>207</v>
      </c>
      <c r="N10" s="105" t="s">
        <v>208</v>
      </c>
      <c r="O10" s="193"/>
      <c r="Q10" s="597" t="s">
        <v>29</v>
      </c>
      <c r="R10" s="597"/>
      <c r="S10" s="597"/>
      <c r="T10" s="597"/>
      <c r="U10" s="163">
        <f>SUM(U8:U9)</f>
        <v>390670.15142857144</v>
      </c>
      <c r="V10" s="163">
        <f>SUM(V8:V9)</f>
        <v>442120</v>
      </c>
      <c r="W10" s="164">
        <f>V10-U10</f>
        <v>51449.848571428563</v>
      </c>
      <c r="X10" s="165">
        <f>W10/V10</f>
        <v>0.1163707784570446</v>
      </c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</row>
    <row r="11" spans="1:155" s="17" customFormat="1" ht="13.5" customHeight="1" thickBot="1" x14ac:dyDescent="0.25">
      <c r="A11" s="106" t="s">
        <v>42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8"/>
      <c r="O11" s="32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</row>
    <row r="12" spans="1:155" s="17" customFormat="1" ht="13.5" customHeight="1" x14ac:dyDescent="0.2">
      <c r="A12" s="248" t="s">
        <v>412</v>
      </c>
      <c r="B12" s="141" t="str">
        <f>VLOOKUP($A12,NSN!$A:$B,2,FALSE)</f>
        <v>C903335</v>
      </c>
      <c r="C12" s="142" t="str">
        <f>VLOOKUP($A12,CODIGOS!$B:$E,4,FALSE)</f>
        <v>800 grs</v>
      </c>
      <c r="D12" s="143">
        <f t="shared" ref="D12:D17" si="0">($F12*$I$3)/1000</f>
        <v>1.6</v>
      </c>
      <c r="E12" s="143">
        <f>IF(VLOOKUP($B12,CODIGOS!$A:$F,6,0)&lt;&gt;1000,(($F12*$I$3)/VLOOKUP($B12,CODIGOS!$A:$F,6,0)),"")</f>
        <v>2</v>
      </c>
      <c r="F12" s="207">
        <v>20</v>
      </c>
      <c r="G12" s="144">
        <f>(F12/1000)*VLOOKUP($B12,CODIGOS!$A:$G,7,0)</f>
        <v>0.02</v>
      </c>
      <c r="H12" s="25">
        <f>VLOOKUP($A12,CODIGOS!$B:$D,2,FALSE)</f>
        <v>4975</v>
      </c>
      <c r="I12" s="25">
        <f t="shared" ref="I12:I17" si="1">IF($H12="S/STOCK","",$J12/$I$3)</f>
        <v>124.375</v>
      </c>
      <c r="J12" s="25">
        <f t="shared" ref="J12:J17" si="2">IF(H12="S/STOCK","",IF($E12="",$D12*$H12,$E12*$H12))</f>
        <v>9950</v>
      </c>
      <c r="K12" s="144">
        <f>VLOOKUP($B12,CODIGOS!$A:$K,8,0)*$G12*1000</f>
        <v>70.599999999999994</v>
      </c>
      <c r="L12" s="144">
        <f>VLOOKUP($B12,CODIGOS!$A:$K,9,0)*$G12*1000</f>
        <v>8.0200000000000014</v>
      </c>
      <c r="M12" s="144">
        <f>VLOOKUP($B12,CODIGOS!$A:$K,10,0)*$G12*1000</f>
        <v>0.02</v>
      </c>
      <c r="N12" s="220">
        <f>VLOOKUP($B12,CODIGOS!$A:$K,11,0)*$G12*1000</f>
        <v>9.58</v>
      </c>
      <c r="O12" s="22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</row>
    <row r="13" spans="1:155" s="17" customFormat="1" ht="13.5" customHeight="1" x14ac:dyDescent="0.2">
      <c r="A13" s="248" t="s">
        <v>10</v>
      </c>
      <c r="B13" s="122" t="str">
        <f>VLOOKUP($A13,NSN!$A:$B,2,FALSE)</f>
        <v>C000827</v>
      </c>
      <c r="C13" s="123" t="str">
        <f>VLOOKUP($A13,CODIGOS!$B:$E,4,FALSE)</f>
        <v>KG</v>
      </c>
      <c r="D13" s="124">
        <f t="shared" si="0"/>
        <v>0.12</v>
      </c>
      <c r="E13" s="124" t="str">
        <f>IF(VLOOKUP($B13,CODIGOS!$A:$F,6,0)&lt;&gt;1000,(($F13*$I$3)/VLOOKUP($B13,CODIGOS!$A:$F,6,0)),"")</f>
        <v/>
      </c>
      <c r="F13" s="206">
        <v>1.5</v>
      </c>
      <c r="G13" s="125">
        <f>(F13/1000)*VLOOKUP($B13,CODIGOS!$A:$G,7,0)</f>
        <v>1.5E-3</v>
      </c>
      <c r="H13" s="24">
        <f>VLOOKUP($A13,CODIGOS!$B:$D,2,FALSE)</f>
        <v>7800</v>
      </c>
      <c r="I13" s="24">
        <f t="shared" si="1"/>
        <v>11.7</v>
      </c>
      <c r="J13" s="24">
        <f t="shared" si="2"/>
        <v>936</v>
      </c>
      <c r="K13" s="125">
        <f>VLOOKUP($B13,CODIGOS!$A:$K,8,0)*$G13*1000</f>
        <v>1.5000000000000001E-2</v>
      </c>
      <c r="L13" s="125">
        <f>VLOOKUP($B13,CODIGOS!$A:$K,9,0)*$G13*1000</f>
        <v>0</v>
      </c>
      <c r="M13" s="125">
        <f>VLOOKUP($B13,CODIGOS!$A:$K,10,0)*$G13*1000</f>
        <v>0</v>
      </c>
      <c r="N13" s="221">
        <f>VLOOKUP($B13,CODIGOS!$A:$K,11,0)*$G13*1000</f>
        <v>3.0000000000000001E-3</v>
      </c>
      <c r="O13" s="22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</row>
    <row r="14" spans="1:155" s="17" customFormat="1" ht="13.5" customHeight="1" x14ac:dyDescent="0.2">
      <c r="A14" s="248" t="s">
        <v>646</v>
      </c>
      <c r="B14" s="122" t="str">
        <f>VLOOKUP($A14,NSN!$A:$B,2,FALSE)</f>
        <v>C000523</v>
      </c>
      <c r="C14" s="123" t="str">
        <f>VLOOKUP($A14,CODIGOS!$B:$E,4,FALSE)</f>
        <v>TA 400 gr</v>
      </c>
      <c r="D14" s="124">
        <f t="shared" si="0"/>
        <v>0.08</v>
      </c>
      <c r="E14" s="124">
        <f>IF(VLOOKUP($B14,CODIGOS!$A:$F,6,0)&lt;&gt;1000,(($F14*$I$3)/VLOOKUP($B14,CODIGOS!$A:$F,6,0)),"")</f>
        <v>0.2</v>
      </c>
      <c r="F14" s="206">
        <v>1</v>
      </c>
      <c r="G14" s="125">
        <f>(F14/1000)*VLOOKUP($B14,CODIGOS!$A:$G,7,0)</f>
        <v>1E-3</v>
      </c>
      <c r="H14" s="24">
        <f>VLOOKUP($A14,CODIGOS!$B:$D,2,FALSE)</f>
        <v>9990</v>
      </c>
      <c r="I14" s="24">
        <f t="shared" si="1"/>
        <v>24.975000000000001</v>
      </c>
      <c r="J14" s="24">
        <f t="shared" si="2"/>
        <v>1998</v>
      </c>
      <c r="K14" s="125">
        <f>VLOOKUP($B14,CODIGOS!$A:$K,8,0)*$G14*1000</f>
        <v>2.61</v>
      </c>
      <c r="L14" s="125">
        <f>VLOOKUP($B14,CODIGOS!$A:$K,9,0)*$G14*1000</f>
        <v>0.16399999999999998</v>
      </c>
      <c r="M14" s="125">
        <f>VLOOKUP($B14,CODIGOS!$A:$K,10,0)*$G14*1000</f>
        <v>1E-3</v>
      </c>
      <c r="N14" s="221">
        <f>VLOOKUP($B14,CODIGOS!$A:$K,11,0)*$G14*1000</f>
        <v>0.49</v>
      </c>
      <c r="O14" s="22"/>
      <c r="Q14" s="23"/>
      <c r="R14" s="2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</row>
    <row r="15" spans="1:155" s="17" customFormat="1" ht="13.5" customHeight="1" x14ac:dyDescent="0.2">
      <c r="A15" s="248" t="s">
        <v>394</v>
      </c>
      <c r="B15" s="122" t="str">
        <f>VLOOKUP($A15,NSN!$A:$B,2,FALSE)</f>
        <v>C000816</v>
      </c>
      <c r="C15" s="123" t="str">
        <f>VLOOKUP($A15,CODIGOS!$B:$E,4,FALSE)</f>
        <v>KG</v>
      </c>
      <c r="D15" s="124">
        <f t="shared" si="0"/>
        <v>0.8</v>
      </c>
      <c r="E15" s="124" t="str">
        <f>IF(VLOOKUP($B15,CODIGOS!$A:$F,6,0)&lt;&gt;1000,(($F15*$I$3)/VLOOKUP($B15,CODIGOS!$A:$F,6,0)),"")</f>
        <v/>
      </c>
      <c r="F15" s="210">
        <v>10</v>
      </c>
      <c r="G15" s="125">
        <f>(F15/1000)*VLOOKUP($B15,CODIGOS!$A:$G,7,0)</f>
        <v>0.01</v>
      </c>
      <c r="H15" s="24">
        <f>VLOOKUP($A15,CODIGOS!$B:$D,2,FALSE)</f>
        <v>1128</v>
      </c>
      <c r="I15" s="24">
        <f t="shared" si="1"/>
        <v>11.280000000000001</v>
      </c>
      <c r="J15" s="24">
        <f t="shared" si="2"/>
        <v>902.40000000000009</v>
      </c>
      <c r="K15" s="125">
        <f>VLOOKUP($B15,CODIGOS!$A:$K,8,0)*$G15*1000</f>
        <v>39.800000000000004</v>
      </c>
      <c r="L15" s="125">
        <f>VLOOKUP($B15,CODIGOS!$A:$K,9,0)*$G15*1000</f>
        <v>0</v>
      </c>
      <c r="M15" s="125">
        <f>VLOOKUP($B15,CODIGOS!$A:$K,10,0)*$G15*1000</f>
        <v>0</v>
      </c>
      <c r="N15" s="221">
        <f>VLOOKUP($B15,CODIGOS!$A:$K,11,0)*$G15*1000</f>
        <v>9.9500000000000011</v>
      </c>
      <c r="O15" s="22"/>
      <c r="Q15" s="23"/>
      <c r="R15" s="27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</row>
    <row r="16" spans="1:155" x14ac:dyDescent="0.2">
      <c r="A16" s="248" t="s">
        <v>2002</v>
      </c>
      <c r="B16" s="122" t="str">
        <f>VLOOKUP($A16,NSN!$A:$B,2,FALSE)</f>
        <v>C903446</v>
      </c>
      <c r="C16" s="123" t="str">
        <f>VLOOKUP($A16,CODIGOS!$B:$E,4,FALSE)</f>
        <v>200 grs</v>
      </c>
      <c r="D16" s="124">
        <f t="shared" si="0"/>
        <v>2</v>
      </c>
      <c r="E16" s="124">
        <f>IF(VLOOKUP($B16,CODIGOS!$A:$F,6,0)&lt;&gt;1000,(($F16*$I$3)/VLOOKUP($B16,CODIGOS!$A:$F,6,0)),"")</f>
        <v>10</v>
      </c>
      <c r="F16" s="501">
        <v>25</v>
      </c>
      <c r="G16" s="125">
        <f>(F16/1000)*VLOOKUP($B16,CODIGOS!$A:$G,7,0)</f>
        <v>2.5000000000000001E-2</v>
      </c>
      <c r="H16" s="24">
        <f>VLOOKUP($A16,CODIGOS!$B:$D,2,FALSE)</f>
        <v>1057</v>
      </c>
      <c r="I16" s="24">
        <f t="shared" si="1"/>
        <v>132.125</v>
      </c>
      <c r="J16" s="24">
        <f>IF(H16="S/STOCK","",IF($E16="",$D16*$H16,$E16*$H16))</f>
        <v>10570</v>
      </c>
      <c r="K16" s="125">
        <f>VLOOKUP($B16,CODIGOS!$A:$K,8,0)*$G16*1000</f>
        <v>10.5</v>
      </c>
      <c r="L16" s="125">
        <f>VLOOKUP($B16,CODIGOS!$A:$K,9,0)*$G16*1000</f>
        <v>7.5000000000000011E-2</v>
      </c>
      <c r="M16" s="125">
        <f>VLOOKUP($B16,CODIGOS!$A:$K,10,0)*$G16*1000</f>
        <v>0.05</v>
      </c>
      <c r="N16" s="221">
        <f>VLOOKUP($B16,CODIGOS!$A:$K,11,0)*$G16*1000</f>
        <v>1.5250000000000001</v>
      </c>
    </row>
    <row r="17" spans="1:14" ht="13.5" thickBot="1" x14ac:dyDescent="0.25">
      <c r="A17" s="248" t="s">
        <v>13</v>
      </c>
      <c r="B17" s="148" t="str">
        <f>VLOOKUP($A17,NSN!$A:$B,2,FALSE)</f>
        <v>V000415</v>
      </c>
      <c r="C17" s="149" t="str">
        <f>VLOOKUP($A17,CODIGOS!$B:$E,4,FALSE)</f>
        <v>KG</v>
      </c>
      <c r="D17" s="150">
        <f t="shared" si="0"/>
        <v>8</v>
      </c>
      <c r="E17" s="150" t="str">
        <f>IF(VLOOKUP($B17,CODIGOS!$A:$F,6,0)&lt;&gt;1000,(($F17*$I$3)/VLOOKUP($B17,CODIGOS!$A:$F,6,0)),"")</f>
        <v/>
      </c>
      <c r="F17" s="502">
        <v>100</v>
      </c>
      <c r="G17" s="137">
        <f>(F17/1000)*VLOOKUP($B17,CODIGOS!$A:$G,7,0)</f>
        <v>0.1</v>
      </c>
      <c r="H17" s="222">
        <f>VLOOKUP($A17,CODIGOS!$B:$D,2,FALSE)</f>
        <v>1783</v>
      </c>
      <c r="I17" s="222">
        <f t="shared" si="1"/>
        <v>178.3</v>
      </c>
      <c r="J17" s="222">
        <f t="shared" si="2"/>
        <v>14264</v>
      </c>
      <c r="K17" s="137">
        <f>VLOOKUP($B17,CODIGOS!$A:$K,8,0)*$G17*1000</f>
        <v>315</v>
      </c>
      <c r="L17" s="137">
        <f>VLOOKUP($B17,CODIGOS!$A:$K,9,0)*$G17*1000</f>
        <v>8.1999999999999993</v>
      </c>
      <c r="M17" s="137">
        <f>VLOOKUP($B17,CODIGOS!$A:$K,10,0)*$G17*1000</f>
        <v>4</v>
      </c>
      <c r="N17" s="223">
        <f>VLOOKUP($B17,CODIGOS!$A:$K,11,0)*$G17*1000</f>
        <v>61.6</v>
      </c>
    </row>
    <row r="18" spans="1:14" ht="13.5" thickBot="1" x14ac:dyDescent="0.25">
      <c r="A18" s="17" t="s">
        <v>627</v>
      </c>
      <c r="B18" s="33"/>
      <c r="C18" s="18"/>
      <c r="D18" s="126"/>
      <c r="E18" s="126"/>
      <c r="F18" s="211"/>
      <c r="G18" s="19"/>
      <c r="H18" s="41"/>
      <c r="I18" s="224">
        <f t="shared" ref="I18:N18" si="3">SUM(I12:I17)</f>
        <v>482.755</v>
      </c>
      <c r="J18" s="225">
        <f t="shared" si="3"/>
        <v>38620.400000000001</v>
      </c>
      <c r="K18" s="226">
        <f t="shared" si="3"/>
        <v>438.52499999999998</v>
      </c>
      <c r="L18" s="226">
        <f t="shared" si="3"/>
        <v>16.459</v>
      </c>
      <c r="M18" s="226">
        <f t="shared" si="3"/>
        <v>4.0709999999999997</v>
      </c>
      <c r="N18" s="227">
        <f t="shared" si="3"/>
        <v>83.147999999999996</v>
      </c>
    </row>
    <row r="19" spans="1:14" ht="13.5" thickBot="1" x14ac:dyDescent="0.25">
      <c r="A19" s="106" t="s">
        <v>21</v>
      </c>
      <c r="B19" s="107"/>
      <c r="C19" s="107"/>
      <c r="D19" s="107"/>
      <c r="E19" s="107"/>
      <c r="F19" s="212"/>
      <c r="G19" s="107"/>
      <c r="H19" s="107"/>
      <c r="I19" s="191"/>
      <c r="J19" s="191"/>
      <c r="K19" s="191"/>
      <c r="L19" s="191"/>
      <c r="M19" s="191"/>
      <c r="N19" s="200"/>
    </row>
    <row r="20" spans="1:14" x14ac:dyDescent="0.2">
      <c r="A20" s="248" t="s">
        <v>323</v>
      </c>
      <c r="B20" s="141" t="str">
        <f>VLOOKUP($A20,NSN!$A:$B,2,FALSE)</f>
        <v>C902857</v>
      </c>
      <c r="C20" s="142" t="str">
        <f>VLOOKUP($A20,CODIGOS!$B:$E,4,FALSE)</f>
        <v>KG</v>
      </c>
      <c r="D20" s="143">
        <f t="shared" ref="D20:D38" si="4">($F20*$I$2)/1000</f>
        <v>1.2</v>
      </c>
      <c r="E20" s="143" t="str">
        <f>IF(VLOOKUP($B20,CODIGOS!$A:$F,6,0)&lt;&gt;1000,(($F20*$I$2)/VLOOKUP($B20,CODIGOS!$A:$F,6,0)),"")</f>
        <v/>
      </c>
      <c r="F20" s="207">
        <v>6</v>
      </c>
      <c r="G20" s="240">
        <f>(F20/1000)*VLOOKUP($B20,CODIGOS!$A:$G,7,0)</f>
        <v>6.0000000000000001E-3</v>
      </c>
      <c r="H20" s="25">
        <f>VLOOKUP($A20,CODIGOS!$B:$D,2,FALSE)</f>
        <v>2941</v>
      </c>
      <c r="I20" s="241">
        <f t="shared" ref="I20:I39" si="5">IF($H20="S/STOCK","",$J20/$I$2)</f>
        <v>17.646000000000001</v>
      </c>
      <c r="J20" s="59">
        <f t="shared" ref="J20:J30" si="6">IF(H20="S/STOCK","",IF($E20="",$D20*$H20,$E20*$H20))</f>
        <v>3529.2</v>
      </c>
      <c r="K20" s="128">
        <f>VLOOKUP($B20,CODIGOS!$A:$K,8,0)*$G20*1000</f>
        <v>21.54</v>
      </c>
      <c r="L20" s="129">
        <f>VLOOKUP($B20,CODIGOS!$A:$K,9,0)*$G20*1000</f>
        <v>0</v>
      </c>
      <c r="M20" s="129">
        <f>VLOOKUP($B20,CODIGOS!$A:$K,10,0)*$G20*1000</f>
        <v>0</v>
      </c>
      <c r="N20" s="130">
        <f>VLOOKUP($B20,CODIGOS!$A:$K,11,0)*$G20*1000</f>
        <v>5.3759999999999994</v>
      </c>
    </row>
    <row r="21" spans="1:14" x14ac:dyDescent="0.2">
      <c r="A21" s="248" t="s">
        <v>13</v>
      </c>
      <c r="B21" s="122" t="str">
        <f>VLOOKUP($A21,NSN!$A:$B,2,FALSE)</f>
        <v>V000415</v>
      </c>
      <c r="C21" s="123" t="str">
        <f>VLOOKUP($A21,CODIGOS!$B:$E,4,FALSE)</f>
        <v>KG</v>
      </c>
      <c r="D21" s="124">
        <f t="shared" si="4"/>
        <v>10</v>
      </c>
      <c r="E21" s="124" t="str">
        <f>IF(VLOOKUP($B21,CODIGOS!$A:$F,6,0)&lt;&gt;1000,(($F21*$I$2)/VLOOKUP($B21,CODIGOS!$A:$F,6,0)),"")</f>
        <v/>
      </c>
      <c r="F21" s="206">
        <v>50</v>
      </c>
      <c r="G21" s="135">
        <f>(F21/1000)*VLOOKUP($B21,CODIGOS!$A:$G,7,0)</f>
        <v>0.05</v>
      </c>
      <c r="H21" s="24">
        <f>VLOOKUP($A21,CODIGOS!$B:$D,2,FALSE)</f>
        <v>1783</v>
      </c>
      <c r="I21" s="147">
        <f t="shared" si="5"/>
        <v>89.15</v>
      </c>
      <c r="J21" s="53">
        <f t="shared" si="6"/>
        <v>17830</v>
      </c>
      <c r="K21" s="131">
        <f>VLOOKUP($B21,CODIGOS!$A:$K,8,0)*$G21*1000</f>
        <v>157.5</v>
      </c>
      <c r="L21" s="132">
        <f>VLOOKUP($B21,CODIGOS!$A:$K,9,0)*$G21*1000</f>
        <v>4.0999999999999996</v>
      </c>
      <c r="M21" s="132">
        <f>VLOOKUP($B21,CODIGOS!$A:$K,10,0)*$G21*1000</f>
        <v>2</v>
      </c>
      <c r="N21" s="133">
        <f>VLOOKUP($B21,CODIGOS!$A:$K,11,0)*$G21*1000</f>
        <v>30.8</v>
      </c>
    </row>
    <row r="22" spans="1:14" x14ac:dyDescent="0.2">
      <c r="A22" s="248" t="s">
        <v>2337</v>
      </c>
      <c r="B22" s="122" t="str">
        <f>VLOOKUP($A22,NSN!$A:$B,2,FALSE)</f>
        <v>C903555</v>
      </c>
      <c r="C22" s="123" t="str">
        <f>VLOOKUP($A22,CODIGOS!$B:$E,4,FALSE)</f>
        <v>KG</v>
      </c>
      <c r="D22" s="124">
        <f t="shared" si="4"/>
        <v>0</v>
      </c>
      <c r="E22" s="124" t="str">
        <f>IF(VLOOKUP($B22,CODIGOS!$A:$F,6,0)&lt;&gt;1000,(($F22*$I$2)/VLOOKUP($B22,CODIGOS!$A:$F,6,0)),"")</f>
        <v/>
      </c>
      <c r="F22" s="501">
        <v>0</v>
      </c>
      <c r="G22" s="135">
        <f>(F22/1000)*VLOOKUP($B22,CODIGOS!$A:$G,7,0)</f>
        <v>0</v>
      </c>
      <c r="H22" s="24">
        <f>VLOOKUP($A22,CODIGOS!$B:$D,2,FALSE)</f>
        <v>4165</v>
      </c>
      <c r="I22" s="147">
        <f t="shared" si="5"/>
        <v>0</v>
      </c>
      <c r="J22" s="53">
        <f t="shared" si="6"/>
        <v>0</v>
      </c>
      <c r="K22" s="131">
        <f>VLOOKUP($B22,CODIGOS!$A:$K,8,0)*$G22*1000</f>
        <v>0</v>
      </c>
      <c r="L22" s="132">
        <f>VLOOKUP($B22,CODIGOS!$A:$K,9,0)*$G22*1000</f>
        <v>0</v>
      </c>
      <c r="M22" s="132">
        <f>VLOOKUP($B22,CODIGOS!$A:$K,10,0)*$G22*1000</f>
        <v>0</v>
      </c>
      <c r="N22" s="133">
        <f>VLOOKUP($B22,CODIGOS!$A:$K,11,0)*$G22*1000</f>
        <v>0</v>
      </c>
    </row>
    <row r="23" spans="1:14" x14ac:dyDescent="0.2">
      <c r="A23" s="248" t="s">
        <v>147</v>
      </c>
      <c r="B23" s="122" t="str">
        <f>VLOOKUP($A23,NSN!$A:$B,2,FALSE)</f>
        <v>V000014</v>
      </c>
      <c r="C23" s="123" t="str">
        <f>VLOOKUP($A23,CODIGOS!$B:$E,4,FALSE)</f>
        <v>NR 35 g</v>
      </c>
      <c r="D23" s="124">
        <f t="shared" si="4"/>
        <v>0.1</v>
      </c>
      <c r="E23" s="124">
        <f>IF(VLOOKUP($B23,CODIGOS!$A:$F,6,0)&lt;&gt;1000,(($F23*$I$2)/VLOOKUP($B23,CODIGOS!$A:$F,6,0)),"")</f>
        <v>2.8571428571428572</v>
      </c>
      <c r="F23" s="501">
        <v>0.5</v>
      </c>
      <c r="G23" s="135">
        <f>(F23/1000)*VLOOKUP($B23,CODIGOS!$A:$G,7,0)</f>
        <v>5.0000000000000001E-4</v>
      </c>
      <c r="H23" s="24">
        <f>VLOOKUP($A23,CODIGOS!$B:$D,2,FALSE)</f>
        <v>297</v>
      </c>
      <c r="I23" s="147">
        <f t="shared" si="5"/>
        <v>4.2428571428571429</v>
      </c>
      <c r="J23" s="53">
        <f t="shared" si="6"/>
        <v>848.57142857142856</v>
      </c>
      <c r="K23" s="131">
        <f>VLOOKUP($B23,CODIGOS!$A:$K,8,0)*$G23*1000</f>
        <v>0.69499999999999995</v>
      </c>
      <c r="L23" s="132">
        <f>VLOOKUP($B23,CODIGOS!$A:$K,9,0)*$G23*1000</f>
        <v>3.3500000000000002E-2</v>
      </c>
      <c r="M23" s="132">
        <f>VLOOKUP($B23,CODIGOS!$A:$K,10,0)*$G23*1000</f>
        <v>2E-3</v>
      </c>
      <c r="N23" s="133">
        <f>VLOOKUP($B23,CODIGOS!$A:$K,11,0)*$G23*1000</f>
        <v>0.13600000000000004</v>
      </c>
    </row>
    <row r="24" spans="1:14" x14ac:dyDescent="0.2">
      <c r="A24" s="248" t="s">
        <v>14</v>
      </c>
      <c r="B24" s="122" t="str">
        <f>VLOOKUP($A24,NSN!$A:$B,2,FALSE)</f>
        <v>V000231</v>
      </c>
      <c r="C24" s="123" t="str">
        <f>VLOOKUP($A24,CODIGOS!$B:$E,4,FALSE)</f>
        <v>NR 200 gr</v>
      </c>
      <c r="D24" s="124">
        <f t="shared" si="4"/>
        <v>0.1</v>
      </c>
      <c r="E24" s="124">
        <f>IF(VLOOKUP($B24,CODIGOS!$A:$F,6,0)&lt;&gt;1000,(($F24*$I$2)/VLOOKUP($B24,CODIGOS!$A:$F,6,0)),"")</f>
        <v>0.5</v>
      </c>
      <c r="F24" s="501">
        <v>0.5</v>
      </c>
      <c r="G24" s="135">
        <f>(F24/1000)*VLOOKUP($B24,CODIGOS!$A:$G,7,0)</f>
        <v>4.3850000000000003E-4</v>
      </c>
      <c r="H24" s="24">
        <f>VLOOKUP($A24,CODIGOS!$B:$D,2,FALSE)</f>
        <v>774</v>
      </c>
      <c r="I24" s="147">
        <f t="shared" si="5"/>
        <v>1.9350000000000001</v>
      </c>
      <c r="J24" s="53">
        <f t="shared" si="6"/>
        <v>387</v>
      </c>
      <c r="K24" s="131">
        <f>VLOOKUP($B24,CODIGOS!$A:$K,8,0)*$G24*1000</f>
        <v>0.25871500000000003</v>
      </c>
      <c r="L24" s="132">
        <f>VLOOKUP($B24,CODIGOS!$A:$K,9,0)*$G24*1000</f>
        <v>1.3593500000000001E-2</v>
      </c>
      <c r="M24" s="132">
        <f>VLOOKUP($B24,CODIGOS!$A:$K,10,0)*$G24*1000</f>
        <v>2.6310000000000001E-3</v>
      </c>
      <c r="N24" s="133">
        <f>VLOOKUP($B24,CODIGOS!$A:$K,11,0)*$G24*1000</f>
        <v>4.5165500000000004E-2</v>
      </c>
    </row>
    <row r="25" spans="1:14" x14ac:dyDescent="0.2">
      <c r="A25" s="248" t="s">
        <v>605</v>
      </c>
      <c r="B25" s="122" t="str">
        <f>VLOOKUP($A25,NSN!$A:$B,2,FALSE)</f>
        <v>V000305</v>
      </c>
      <c r="C25" s="123" t="str">
        <f>VLOOKUP($A25,CODIGOS!$B:$E,4,FALSE)</f>
        <v>KG</v>
      </c>
      <c r="D25" s="124">
        <f t="shared" si="4"/>
        <v>1</v>
      </c>
      <c r="E25" s="124" t="str">
        <f>IF(VLOOKUP($B25,CODIGOS!$A:$F,6,0)&lt;&gt;1000,(($F25*$I$2)/VLOOKUP($B25,CODIGOS!$A:$F,6,0)),"")</f>
        <v/>
      </c>
      <c r="F25" s="501">
        <v>5</v>
      </c>
      <c r="G25" s="135">
        <f>(F25/1000)*VLOOKUP($B25,CODIGOS!$A:$G,7,0)</f>
        <v>5.0000000000000001E-3</v>
      </c>
      <c r="H25" s="24">
        <f>VLOOKUP($A25,CODIGOS!$B:$D,2,FALSE)</f>
        <v>2559</v>
      </c>
      <c r="I25" s="147">
        <f t="shared" si="5"/>
        <v>12.795</v>
      </c>
      <c r="J25" s="53">
        <f t="shared" si="6"/>
        <v>2559</v>
      </c>
      <c r="K25" s="131">
        <f>VLOOKUP($B25,CODIGOS!$A:$K,8,0)*$G25*1000</f>
        <v>17.350000000000001</v>
      </c>
      <c r="L25" s="132">
        <f>VLOOKUP($B25,CODIGOS!$A:$K,9,0)*$G25*1000</f>
        <v>0.40500000000000003</v>
      </c>
      <c r="M25" s="132">
        <f>VLOOKUP($B25,CODIGOS!$A:$K,10,0)*$G25*1000</f>
        <v>3.4999999999999996E-2</v>
      </c>
      <c r="N25" s="133">
        <f>VLOOKUP($B25,CODIGOS!$A:$K,11,0)*$G25*1000</f>
        <v>3.8750000000000004</v>
      </c>
    </row>
    <row r="26" spans="1:14" x14ac:dyDescent="0.2">
      <c r="A26" s="248" t="s">
        <v>414</v>
      </c>
      <c r="B26" s="122" t="str">
        <f>VLOOKUP($A26,NSN!$A:$B,2,FALSE)</f>
        <v>C902737</v>
      </c>
      <c r="C26" s="123" t="str">
        <f>VLOOKUP($A26,CODIGOS!$B:$E,4,FALSE)</f>
        <v>KG</v>
      </c>
      <c r="D26" s="124">
        <f t="shared" si="4"/>
        <v>34</v>
      </c>
      <c r="E26" s="124" t="str">
        <f>IF(VLOOKUP($B26,CODIGOS!$A:$F,6,0)&lt;&gt;1000,(($F26*$I$2)/VLOOKUP($B26,CODIGOS!$A:$F,6,0)),"")</f>
        <v/>
      </c>
      <c r="F26" s="501">
        <v>170</v>
      </c>
      <c r="G26" s="135">
        <f>(F26/1000)*VLOOKUP($B26,CODIGOS!$A:$G,7,0)</f>
        <v>0.13549000000000003</v>
      </c>
      <c r="H26" s="24">
        <f>VLOOKUP($A26,CODIGOS!$B:$D,2,FALSE)</f>
        <v>3900</v>
      </c>
      <c r="I26" s="147">
        <f t="shared" si="5"/>
        <v>663</v>
      </c>
      <c r="J26" s="53">
        <f t="shared" ref="J26" si="7">IF(H26="S/STOCK","",IF($E26="",$D26*$H26,$E26*$H26))</f>
        <v>132600</v>
      </c>
      <c r="K26" s="131">
        <f>VLOOKUP($B26,CODIGOS!$A:$K,8,0)*$G26*1000</f>
        <v>178.84680000000006</v>
      </c>
      <c r="L26" s="132">
        <f>VLOOKUP($B26,CODIGOS!$A:$K,9,0)*$G26*1000</f>
        <v>28.723880000000005</v>
      </c>
      <c r="M26" s="132">
        <f>VLOOKUP($B26,CODIGOS!$A:$K,10,0)*$G26*1000</f>
        <v>5.9615600000000022</v>
      </c>
      <c r="N26" s="133">
        <f>VLOOKUP($B26,CODIGOS!$A:$K,11,0)*$G26*1000</f>
        <v>2.4388200000000007</v>
      </c>
    </row>
    <row r="27" spans="1:14" x14ac:dyDescent="0.2">
      <c r="A27" s="248" t="s">
        <v>147</v>
      </c>
      <c r="B27" s="122" t="str">
        <f>VLOOKUP($A27,NSN!$A:$B,2,FALSE)</f>
        <v>V000014</v>
      </c>
      <c r="C27" s="123" t="str">
        <f>VLOOKUP($A27,CODIGOS!$B:$E,4,FALSE)</f>
        <v>NR 35 g</v>
      </c>
      <c r="D27" s="124">
        <f t="shared" si="4"/>
        <v>0.1</v>
      </c>
      <c r="E27" s="124">
        <f>IF(VLOOKUP($B27,CODIGOS!$A:$F,6,0)&lt;&gt;1000,(($F27*$I$2)/VLOOKUP($B27,CODIGOS!$A:$F,6,0)),"")</f>
        <v>2.8571428571428572</v>
      </c>
      <c r="F27" s="501">
        <v>0.5</v>
      </c>
      <c r="G27" s="135">
        <f>(F27/1000)*VLOOKUP($B27,CODIGOS!$A:$G,7,0)</f>
        <v>5.0000000000000001E-4</v>
      </c>
      <c r="H27" s="24">
        <f>VLOOKUP($A27,CODIGOS!$B:$D,2,FALSE)</f>
        <v>297</v>
      </c>
      <c r="I27" s="147">
        <f t="shared" si="5"/>
        <v>4.2428571428571429</v>
      </c>
      <c r="J27" s="53">
        <f>IF(H27="S/STOCK","",IF($E27="",$D27*$H27,$E27*$H27))</f>
        <v>848.57142857142856</v>
      </c>
      <c r="K27" s="131">
        <f>VLOOKUP($B27,CODIGOS!$A:$K,8,0)*$G27*1000</f>
        <v>0.69499999999999995</v>
      </c>
      <c r="L27" s="132">
        <f>VLOOKUP($B27,CODIGOS!$A:$K,9,0)*$G27*1000</f>
        <v>3.3500000000000002E-2</v>
      </c>
      <c r="M27" s="132">
        <f>VLOOKUP($B27,CODIGOS!$A:$K,10,0)*$G27*1000</f>
        <v>2E-3</v>
      </c>
      <c r="N27" s="133">
        <f>VLOOKUP($B27,CODIGOS!$A:$K,11,0)*$G27*1000</f>
        <v>0.13600000000000004</v>
      </c>
    </row>
    <row r="28" spans="1:14" x14ac:dyDescent="0.2">
      <c r="A28" s="248" t="s">
        <v>56</v>
      </c>
      <c r="B28" s="122" t="str">
        <f>VLOOKUP($A28,NSN!$A:$B,2,FALSE)</f>
        <v>C000249</v>
      </c>
      <c r="C28" s="123" t="str">
        <f>VLOOKUP($A28,CODIGOS!$B:$E,4,FALSE)</f>
        <v>KG</v>
      </c>
      <c r="D28" s="124">
        <f t="shared" si="4"/>
        <v>6</v>
      </c>
      <c r="E28" s="124" t="str">
        <f>IF(VLOOKUP($B28,CODIGOS!$A:$F,6,0)&lt;&gt;1000,(($F28*$I$2)/VLOOKUP($B28,CODIGOS!$A:$F,6,0)),"")</f>
        <v/>
      </c>
      <c r="F28" s="501">
        <v>30</v>
      </c>
      <c r="G28" s="135">
        <f>(F28/1000)*VLOOKUP($B28,CODIGOS!$A:$G,7,0)</f>
        <v>2.673E-2</v>
      </c>
      <c r="H28" s="24">
        <f>VLOOKUP($A28,CODIGOS!$B:$D,2,FALSE)</f>
        <v>640</v>
      </c>
      <c r="I28" s="147">
        <f t="shared" si="5"/>
        <v>19.2</v>
      </c>
      <c r="J28" s="53">
        <f t="shared" ref="J28" si="8">IF(H28="S/STOCK","",IF($E28="",$D28*$H28,$E28*$H28))</f>
        <v>3840</v>
      </c>
      <c r="K28" s="131">
        <f>VLOOKUP($B28,CODIGOS!$A:$K,8,0)*$G28*1000</f>
        <v>11.4939</v>
      </c>
      <c r="L28" s="132">
        <f>VLOOKUP($B28,CODIGOS!$A:$K,9,0)*$G28*1000</f>
        <v>0.21384</v>
      </c>
      <c r="M28" s="132">
        <f>VLOOKUP($B28,CODIGOS!$A:$K,10,0)*$G28*1000</f>
        <v>5.3460000000000001E-2</v>
      </c>
      <c r="N28" s="133">
        <f>VLOOKUP($B28,CODIGOS!$A:$K,11,0)*$G28*1000</f>
        <v>2.5660799999999999</v>
      </c>
    </row>
    <row r="29" spans="1:14" x14ac:dyDescent="0.2">
      <c r="A29" s="248" t="s">
        <v>412</v>
      </c>
      <c r="B29" s="122" t="str">
        <f>VLOOKUP($A29,NSN!$A:$B,2,FALSE)</f>
        <v>C903335</v>
      </c>
      <c r="C29" s="123" t="str">
        <f>VLOOKUP($A29,CODIGOS!$B:$E,4,FALSE)</f>
        <v>800 grs</v>
      </c>
      <c r="D29" s="124">
        <f t="shared" si="4"/>
        <v>2</v>
      </c>
      <c r="E29" s="124">
        <f>IF(VLOOKUP($B29,CODIGOS!$A:$F,6,0)&lt;&gt;1000,(($F29*$I$2)/VLOOKUP($B29,CODIGOS!$A:$F,6,0)),"")</f>
        <v>2.5</v>
      </c>
      <c r="F29" s="501">
        <v>10</v>
      </c>
      <c r="G29" s="135">
        <f>(F29/1000)*VLOOKUP($B29,CODIGOS!$A:$G,7,0)</f>
        <v>0.01</v>
      </c>
      <c r="H29" s="24">
        <f>VLOOKUP($A29,CODIGOS!$B:$D,2,FALSE)</f>
        <v>4975</v>
      </c>
      <c r="I29" s="147">
        <f t="shared" si="5"/>
        <v>62.1875</v>
      </c>
      <c r="J29" s="53">
        <f t="shared" si="6"/>
        <v>12437.5</v>
      </c>
      <c r="K29" s="131">
        <f>VLOOKUP($B29,CODIGOS!$A:$K,8,0)*$G29*1000</f>
        <v>35.299999999999997</v>
      </c>
      <c r="L29" s="132">
        <f>VLOOKUP($B29,CODIGOS!$A:$K,9,0)*$G29*1000</f>
        <v>4.0100000000000007</v>
      </c>
      <c r="M29" s="132">
        <f>VLOOKUP($B29,CODIGOS!$A:$K,10,0)*$G29*1000</f>
        <v>0.01</v>
      </c>
      <c r="N29" s="133">
        <f>VLOOKUP($B29,CODIGOS!$A:$K,11,0)*$G29*1000</f>
        <v>4.79</v>
      </c>
    </row>
    <row r="30" spans="1:14" x14ac:dyDescent="0.2">
      <c r="A30" s="248" t="s">
        <v>568</v>
      </c>
      <c r="B30" s="122" t="str">
        <f>VLOOKUP($A30,NSN!$A:$B,2,FALSE)</f>
        <v>V000523</v>
      </c>
      <c r="C30" s="123" t="str">
        <f>VLOOKUP($A30,CODIGOS!$B:$E,4,FALSE)</f>
        <v>PQ 250 gr</v>
      </c>
      <c r="D30" s="124">
        <f t="shared" si="4"/>
        <v>1</v>
      </c>
      <c r="E30" s="124">
        <f>IF(VLOOKUP($B30,CODIGOS!$A:$F,6,0)&lt;&gt;1000,(($F30*$I$2)/VLOOKUP($B30,CODIGOS!$A:$F,6,0)),"")</f>
        <v>4</v>
      </c>
      <c r="F30" s="501">
        <v>5</v>
      </c>
      <c r="G30" s="135">
        <f>(F30/1000)*VLOOKUP($B30,CODIGOS!$A:$G,7,0)</f>
        <v>5.0000000000000001E-3</v>
      </c>
      <c r="H30" s="24">
        <f>VLOOKUP($A30,CODIGOS!$B:$D,2,FALSE)</f>
        <v>1626</v>
      </c>
      <c r="I30" s="147">
        <f t="shared" si="5"/>
        <v>32.520000000000003</v>
      </c>
      <c r="J30" s="53">
        <f t="shared" si="6"/>
        <v>6504</v>
      </c>
      <c r="K30" s="131">
        <f>VLOOKUP($B30,CODIGOS!$A:$K,8,0)*$G30*1000</f>
        <v>35.799999999999997</v>
      </c>
      <c r="L30" s="132">
        <f>VLOOKUP($B30,CODIGOS!$A:$K,9,0)*$G30*1000</f>
        <v>0.04</v>
      </c>
      <c r="M30" s="132">
        <f>VLOOKUP($B30,CODIGOS!$A:$K,10,0)*$G30*1000</f>
        <v>4.0100000000000007</v>
      </c>
      <c r="N30" s="133">
        <f>VLOOKUP($B30,CODIGOS!$A:$K,11,0)*$G30*1000</f>
        <v>2.5000000000000001E-2</v>
      </c>
    </row>
    <row r="31" spans="1:14" x14ac:dyDescent="0.2">
      <c r="A31" s="248" t="s">
        <v>410</v>
      </c>
      <c r="B31" s="122" t="str">
        <f>VLOOKUP($A31,NSN!$A:$B,2,FALSE)</f>
        <v>C000367</v>
      </c>
      <c r="C31" s="123" t="str">
        <f>VLOOKUP($A31,CODIGOS!$B:$E,4,FALSE)</f>
        <v>KG</v>
      </c>
      <c r="D31" s="124">
        <f t="shared" si="4"/>
        <v>2</v>
      </c>
      <c r="E31" s="124" t="str">
        <f>IF(VLOOKUP($B31,CODIGOS!$A:$F,6,0)&lt;&gt;1000,(($F31*$I$2)/VLOOKUP($B31,CODIGOS!$A:$F,6,0)),"")</f>
        <v/>
      </c>
      <c r="F31" s="501">
        <v>10</v>
      </c>
      <c r="G31" s="135">
        <f>(F31/1000)*VLOOKUP($B31,CODIGOS!$A:$G,7,0)</f>
        <v>0.01</v>
      </c>
      <c r="H31" s="24">
        <f>VLOOKUP($A31,CODIGOS!$B:$D,2,FALSE)</f>
        <v>794</v>
      </c>
      <c r="I31" s="147">
        <f t="shared" si="5"/>
        <v>7.94</v>
      </c>
      <c r="J31" s="53">
        <f t="shared" ref="J31:J38" si="9">IF(H31="S/STOCK","",IF($E31="",$D31*$H31,$E31*$H31))</f>
        <v>1588</v>
      </c>
      <c r="K31" s="131">
        <f>VLOOKUP($B31,CODIGOS!$A:$K,8,0)*$G31*1000</f>
        <v>34.799999999999997</v>
      </c>
      <c r="L31" s="132">
        <f>VLOOKUP($B31,CODIGOS!$A:$K,9,0)*$G31*1000</f>
        <v>0.8</v>
      </c>
      <c r="M31" s="132">
        <f>VLOOKUP($B31,CODIGOS!$A:$K,10,0)*$G31*1000</f>
        <v>0.12000000000000001</v>
      </c>
      <c r="N31" s="133">
        <f>VLOOKUP($B31,CODIGOS!$A:$K,11,0)*$G31*1000</f>
        <v>7.64</v>
      </c>
    </row>
    <row r="32" spans="1:14" x14ac:dyDescent="0.2">
      <c r="A32" s="248" t="s">
        <v>652</v>
      </c>
      <c r="B32" s="122" t="str">
        <f>VLOOKUP($A32,NSN!$A:$B,2,FALSE)</f>
        <v>V000764</v>
      </c>
      <c r="C32" s="123" t="str">
        <f>VLOOKUP($A32,CODIGOS!$B:$E,4,FALSE)</f>
        <v>KG</v>
      </c>
      <c r="D32" s="124">
        <f t="shared" si="4"/>
        <v>0.1</v>
      </c>
      <c r="E32" s="124" t="str">
        <f>IF(VLOOKUP($B32,CODIGOS!$A:$F,6,0)&lt;&gt;1000,(($F32*$I$2)/VLOOKUP($B32,CODIGOS!$A:$F,6,0)),"")</f>
        <v/>
      </c>
      <c r="F32" s="501">
        <v>0.5</v>
      </c>
      <c r="G32" s="135">
        <f>(F32/1000)*VLOOKUP($B32,CODIGOS!$A:$G,7,0)</f>
        <v>5.0000000000000001E-4</v>
      </c>
      <c r="H32" s="24">
        <f>VLOOKUP($A32,CODIGOS!$B:$D,2,FALSE)</f>
        <v>10056</v>
      </c>
      <c r="I32" s="147">
        <f t="shared" si="5"/>
        <v>5.0280000000000005</v>
      </c>
      <c r="J32" s="53">
        <f t="shared" si="9"/>
        <v>1005.6</v>
      </c>
      <c r="K32" s="131">
        <f>VLOOKUP($B32,CODIGOS!$A:$K,8,0)*$G32*1000</f>
        <v>1.8000000000000003</v>
      </c>
      <c r="L32" s="132">
        <f>VLOOKUP($B32,CODIGOS!$A:$K,9,0)*$G32*1000</f>
        <v>4.2000000000000003E-2</v>
      </c>
      <c r="M32" s="132">
        <f>VLOOKUP($B32,CODIGOS!$A:$K,10,0)*$G32*1000</f>
        <v>0.04</v>
      </c>
      <c r="N32" s="133">
        <f>VLOOKUP($B32,CODIGOS!$A:$K,11,0)*$G32*1000</f>
        <v>0.3175</v>
      </c>
    </row>
    <row r="33" spans="1:14" x14ac:dyDescent="0.2">
      <c r="A33" s="248" t="s">
        <v>2028</v>
      </c>
      <c r="B33" s="122" t="str">
        <f>VLOOKUP($A33,NSN!$A:$B,2,FALSE)</f>
        <v>C902636</v>
      </c>
      <c r="C33" s="123" t="str">
        <f>VLOOKUP($A33,CODIGOS!$B:$E,4,FALSE)</f>
        <v>900 ML</v>
      </c>
      <c r="D33" s="124">
        <f t="shared" si="4"/>
        <v>1</v>
      </c>
      <c r="E33" s="124">
        <f>IF(VLOOKUP($B33,CODIGOS!$A:$F,6,0)&lt;&gt;1000,(($F33*$I$2)/VLOOKUP($B33,CODIGOS!$A:$F,6,0)),"")</f>
        <v>1.1111111111111112</v>
      </c>
      <c r="F33" s="501">
        <v>5</v>
      </c>
      <c r="G33" s="135">
        <f>(F33/1000)*VLOOKUP($B33,CODIGOS!$A:$G,7,0)</f>
        <v>5.0000000000000001E-3</v>
      </c>
      <c r="H33" s="24">
        <f>VLOOKUP($A33,CODIGOS!$B:$D,2,FALSE)</f>
        <v>1500</v>
      </c>
      <c r="I33" s="147">
        <f t="shared" si="5"/>
        <v>8.3333333333333339</v>
      </c>
      <c r="J33" s="53">
        <f t="shared" ref="J33:J34" si="10">IF(H33="S/STOCK","",IF($E33="",$D33*$H33,$E33*$H33))</f>
        <v>1666.6666666666667</v>
      </c>
      <c r="K33" s="131">
        <f>VLOOKUP($B33,CODIGOS!$A:$K,8,0)*$G33*1000</f>
        <v>44.2</v>
      </c>
      <c r="L33" s="132">
        <f>VLOOKUP($B33,CODIGOS!$A:$K,9,0)*$G33*1000</f>
        <v>0</v>
      </c>
      <c r="M33" s="132">
        <f>VLOOKUP($B33,CODIGOS!$A:$K,10,0)*$G33*1000</f>
        <v>5</v>
      </c>
      <c r="N33" s="133">
        <f>VLOOKUP($B33,CODIGOS!$A:$K,11,0)*$G33*1000</f>
        <v>0</v>
      </c>
    </row>
    <row r="34" spans="1:14" x14ac:dyDescent="0.2">
      <c r="A34" s="248" t="s">
        <v>653</v>
      </c>
      <c r="B34" s="122" t="str">
        <f>VLOOKUP($A34,NSN!$A:$B,2,FALSE)</f>
        <v>C000528</v>
      </c>
      <c r="C34" s="123" t="str">
        <f>VLOOKUP($A34,CODIGOS!$B:$E,4,FALSE)</f>
        <v>KG</v>
      </c>
      <c r="D34" s="124">
        <f t="shared" si="4"/>
        <v>0.1</v>
      </c>
      <c r="E34" s="124" t="str">
        <f>IF(VLOOKUP($B34,CODIGOS!$A:$F,6,0)&lt;&gt;1000,(($F34*$I$2)/VLOOKUP($B34,CODIGOS!$A:$F,6,0)),"")</f>
        <v/>
      </c>
      <c r="F34" s="501">
        <v>0.5</v>
      </c>
      <c r="G34" s="135">
        <f>(F34/1000)*VLOOKUP($B34,CODIGOS!$A:$G,7,0)</f>
        <v>5.0000000000000001E-4</v>
      </c>
      <c r="H34" s="24">
        <f>VLOOKUP($A34,CODIGOS!$B:$D,2,FALSE)</f>
        <v>375</v>
      </c>
      <c r="I34" s="147">
        <f t="shared" si="5"/>
        <v>0.1875</v>
      </c>
      <c r="J34" s="53">
        <f t="shared" si="10"/>
        <v>37.5</v>
      </c>
      <c r="K34" s="131">
        <f>VLOOKUP($B34,CODIGOS!$A:$K,8,0)*$G34*1000</f>
        <v>0</v>
      </c>
      <c r="L34" s="132">
        <f>VLOOKUP($B34,CODIGOS!$A:$K,9,0)*$G34*1000</f>
        <v>0</v>
      </c>
      <c r="M34" s="132">
        <f>VLOOKUP($B34,CODIGOS!$A:$K,10,0)*$G34*1000</f>
        <v>0</v>
      </c>
      <c r="N34" s="133">
        <f>VLOOKUP($B34,CODIGOS!$A:$K,11,0)*$G34*1000</f>
        <v>0</v>
      </c>
    </row>
    <row r="35" spans="1:14" x14ac:dyDescent="0.2">
      <c r="A35" s="248" t="s">
        <v>34</v>
      </c>
      <c r="B35" s="122" t="str">
        <f>VLOOKUP($A35,NSN!$A:$B,2,FALSE)</f>
        <v>C000342</v>
      </c>
      <c r="C35" s="123" t="str">
        <f>VLOOKUP($A35,CODIGOS!$B:$E,4,FALSE)</f>
        <v>KG</v>
      </c>
      <c r="D35" s="124">
        <f t="shared" si="4"/>
        <v>16</v>
      </c>
      <c r="E35" s="124" t="str">
        <f>IF(VLOOKUP($B35,CODIGOS!$A:$F,6,0)&lt;&gt;1000,(($F35*$I$2)/VLOOKUP($B35,CODIGOS!$A:$F,6,0)),"")</f>
        <v/>
      </c>
      <c r="F35" s="501">
        <v>80</v>
      </c>
      <c r="G35" s="135">
        <f>(F35/1000)*VLOOKUP($B35,CODIGOS!$A:$G,7,0)</f>
        <v>0.08</v>
      </c>
      <c r="H35" s="24">
        <f>VLOOKUP($A35,CODIGOS!$B:$D,2,FALSE)</f>
        <v>1444</v>
      </c>
      <c r="I35" s="147">
        <f t="shared" si="5"/>
        <v>115.52</v>
      </c>
      <c r="J35" s="53">
        <f t="shared" si="9"/>
        <v>23104</v>
      </c>
      <c r="K35" s="131">
        <f>VLOOKUP($B35,CODIGOS!$A:$K,8,0)*$G35*1000</f>
        <v>281.60000000000002</v>
      </c>
      <c r="L35" s="132">
        <f>VLOOKUP($B35,CODIGOS!$A:$K,9,0)*$G35*1000</f>
        <v>8.8800000000000008</v>
      </c>
      <c r="M35" s="132">
        <f>VLOOKUP($B35,CODIGOS!$A:$K,10,0)*$G35*1000</f>
        <v>0.32</v>
      </c>
      <c r="N35" s="133">
        <f>VLOOKUP($B35,CODIGOS!$A:$K,11,0)*$G35*1000</f>
        <v>61.279999999999994</v>
      </c>
    </row>
    <row r="36" spans="1:14" x14ac:dyDescent="0.2">
      <c r="A36" s="248" t="s">
        <v>14</v>
      </c>
      <c r="B36" s="122" t="str">
        <f>VLOOKUP($A36,NSN!$A:$B,2,FALSE)</f>
        <v>V000231</v>
      </c>
      <c r="C36" s="123" t="str">
        <f>VLOOKUP($A36,CODIGOS!$B:$E,4,FALSE)</f>
        <v>NR 200 gr</v>
      </c>
      <c r="D36" s="124">
        <f t="shared" si="4"/>
        <v>0.1</v>
      </c>
      <c r="E36" s="124">
        <f>IF(VLOOKUP($B36,CODIGOS!$A:$F,6,0)&lt;&gt;1000,(($F36*$I$2)/VLOOKUP($B36,CODIGOS!$A:$F,6,0)),"")</f>
        <v>0.5</v>
      </c>
      <c r="F36" s="501">
        <v>0.5</v>
      </c>
      <c r="G36" s="135">
        <f>(F36/1000)*VLOOKUP($B36,CODIGOS!$A:$G,7,0)</f>
        <v>4.3850000000000003E-4</v>
      </c>
      <c r="H36" s="24">
        <f>VLOOKUP($A36,CODIGOS!$B:$D,2,FALSE)</f>
        <v>774</v>
      </c>
      <c r="I36" s="147">
        <f t="shared" si="5"/>
        <v>1.9350000000000001</v>
      </c>
      <c r="J36" s="53">
        <f t="shared" ref="J36" si="11">IF(H36="S/STOCK","",IF($E36="",$D36*$H36,$E36*$H36))</f>
        <v>387</v>
      </c>
      <c r="K36" s="131">
        <f>VLOOKUP($B36,CODIGOS!$A:$K,8,0)*$G36*1000</f>
        <v>0.25871500000000003</v>
      </c>
      <c r="L36" s="132">
        <f>VLOOKUP($B36,CODIGOS!$A:$K,9,0)*$G36*1000</f>
        <v>1.3593500000000001E-2</v>
      </c>
      <c r="M36" s="132">
        <f>VLOOKUP($B36,CODIGOS!$A:$K,10,0)*$G36*1000</f>
        <v>2.6310000000000001E-3</v>
      </c>
      <c r="N36" s="133">
        <f>VLOOKUP($B36,CODIGOS!$A:$K,11,0)*$G36*1000</f>
        <v>4.5165500000000004E-2</v>
      </c>
    </row>
    <row r="37" spans="1:14" x14ac:dyDescent="0.2">
      <c r="A37" s="248" t="s">
        <v>2028</v>
      </c>
      <c r="B37" s="122" t="str">
        <f>VLOOKUP($A37,NSN!$A:$B,2,FALSE)</f>
        <v>C902636</v>
      </c>
      <c r="C37" s="123" t="str">
        <f>VLOOKUP($A37,CODIGOS!$B:$E,4,FALSE)</f>
        <v>900 ML</v>
      </c>
      <c r="D37" s="124">
        <f t="shared" si="4"/>
        <v>1</v>
      </c>
      <c r="E37" s="124">
        <f>IF(VLOOKUP($B37,CODIGOS!$A:$F,6,0)&lt;&gt;1000,(($F37*$I$2)/VLOOKUP($B37,CODIGOS!$A:$F,6,0)),"")</f>
        <v>1.1111111111111112</v>
      </c>
      <c r="F37" s="501">
        <v>5</v>
      </c>
      <c r="G37" s="135">
        <f>(F37/1000)*VLOOKUP($B37,CODIGOS!$A:$G,7,0)</f>
        <v>5.0000000000000001E-3</v>
      </c>
      <c r="H37" s="24">
        <f>VLOOKUP($A37,CODIGOS!$B:$D,2,FALSE)</f>
        <v>1500</v>
      </c>
      <c r="I37" s="147">
        <f t="shared" si="5"/>
        <v>8.3333333333333339</v>
      </c>
      <c r="J37" s="53">
        <f t="shared" si="9"/>
        <v>1666.6666666666667</v>
      </c>
      <c r="K37" s="131">
        <f>VLOOKUP($B37,CODIGOS!$A:$K,8,0)*$G37*1000</f>
        <v>44.2</v>
      </c>
      <c r="L37" s="132">
        <f>VLOOKUP($B37,CODIGOS!$A:$K,9,0)*$G37*1000</f>
        <v>0</v>
      </c>
      <c r="M37" s="132">
        <f>VLOOKUP($B37,CODIGOS!$A:$K,10,0)*$G37*1000</f>
        <v>5</v>
      </c>
      <c r="N37" s="133">
        <f>VLOOKUP($B37,CODIGOS!$A:$K,11,0)*$G37*1000</f>
        <v>0</v>
      </c>
    </row>
    <row r="38" spans="1:14" x14ac:dyDescent="0.2">
      <c r="A38" s="248" t="s">
        <v>653</v>
      </c>
      <c r="B38" s="122" t="str">
        <f>VLOOKUP($A38,NSN!$A:$B,2,FALSE)</f>
        <v>C000528</v>
      </c>
      <c r="C38" s="123" t="str">
        <f>VLOOKUP($A38,CODIGOS!$B:$E,4,FALSE)</f>
        <v>KG</v>
      </c>
      <c r="D38" s="124">
        <f t="shared" si="4"/>
        <v>0.1</v>
      </c>
      <c r="E38" s="124" t="str">
        <f>IF(VLOOKUP($B38,CODIGOS!$A:$F,6,0)&lt;&gt;1000,(($F38*$I$2)/VLOOKUP($B38,CODIGOS!$A:$F,6,0)),"")</f>
        <v/>
      </c>
      <c r="F38" s="501">
        <v>0.5</v>
      </c>
      <c r="G38" s="135">
        <f>(F38/1000)*VLOOKUP($B38,CODIGOS!$A:$G,7,0)</f>
        <v>5.0000000000000001E-4</v>
      </c>
      <c r="H38" s="24">
        <f>VLOOKUP($A38,CODIGOS!$B:$D,2,FALSE)</f>
        <v>375</v>
      </c>
      <c r="I38" s="147">
        <f t="shared" si="5"/>
        <v>0.1875</v>
      </c>
      <c r="J38" s="53">
        <f t="shared" si="9"/>
        <v>37.5</v>
      </c>
      <c r="K38" s="131">
        <f>VLOOKUP($B38,CODIGOS!$A:$K,8,0)*$G38*1000</f>
        <v>0</v>
      </c>
      <c r="L38" s="132">
        <f>VLOOKUP($B38,CODIGOS!$A:$K,9,0)*$G38*1000</f>
        <v>0</v>
      </c>
      <c r="M38" s="132">
        <f>VLOOKUP($B38,CODIGOS!$A:$K,10,0)*$G38*1000</f>
        <v>0</v>
      </c>
      <c r="N38" s="133">
        <f>VLOOKUP($B38,CODIGOS!$A:$K,11,0)*$G38*1000</f>
        <v>0</v>
      </c>
    </row>
    <row r="39" spans="1:14" ht="13.5" thickBot="1" x14ac:dyDescent="0.25">
      <c r="A39" s="248" t="s">
        <v>317</v>
      </c>
      <c r="B39" s="148" t="str">
        <f>VLOOKUP($A39,NSN!$A:$B,2,FALSE)</f>
        <v>C902854</v>
      </c>
      <c r="C39" s="149" t="str">
        <f>VLOOKUP($A39,CODIGOS!$B:$E,4,FALSE)</f>
        <v>KG</v>
      </c>
      <c r="D39" s="150">
        <f>($F39*$I$2)/1000</f>
        <v>2.8</v>
      </c>
      <c r="E39" s="150" t="str">
        <f>IF(VLOOKUP($B39,CODIGOS!$A:$F,6,0)&lt;&gt;1000,(($F39*$I$2)/VLOOKUP($B39,CODIGOS!$A:$F,6,0)),"")</f>
        <v/>
      </c>
      <c r="F39" s="502">
        <v>14</v>
      </c>
      <c r="G39" s="242">
        <f>(F39/1000)*VLOOKUP($B39,CODIGOS!$A:$G,7,0)</f>
        <v>1.4E-2</v>
      </c>
      <c r="H39" s="222">
        <f>VLOOKUP($A39,CODIGOS!$B:$D,2,FALSE)</f>
        <v>4054</v>
      </c>
      <c r="I39" s="243">
        <f t="shared" si="5"/>
        <v>56.755999999999993</v>
      </c>
      <c r="J39" s="229">
        <f>IF(H39="S/STOCK","",IF($E39="",$D39*$H39,$E39*$H39))</f>
        <v>11351.199999999999</v>
      </c>
      <c r="K39" s="238">
        <f>VLOOKUP($B39,CODIGOS!$A:$K,8,0)*$G39*1000</f>
        <v>50.960000000000008</v>
      </c>
      <c r="L39" s="230">
        <f>VLOOKUP($B39,CODIGOS!$A:$K,9,0)*$G39*1000</f>
        <v>2.8840000000000003</v>
      </c>
      <c r="M39" s="230">
        <f>VLOOKUP($B39,CODIGOS!$A:$K,10,0)*$G39*1000</f>
        <v>0.16800000000000001</v>
      </c>
      <c r="N39" s="231">
        <f>VLOOKUP($B39,CODIGOS!$A:$K,11,0)*$G39*1000</f>
        <v>9.7160000000000011</v>
      </c>
    </row>
    <row r="40" spans="1:14" ht="13.5" thickBot="1" x14ac:dyDescent="0.25">
      <c r="A40" s="17" t="s">
        <v>627</v>
      </c>
      <c r="B40" s="33"/>
      <c r="C40" s="18"/>
      <c r="D40" s="126"/>
      <c r="E40" s="126"/>
      <c r="F40" s="211"/>
      <c r="G40" s="19"/>
      <c r="H40" s="41"/>
      <c r="I40" s="249">
        <f t="shared" ref="I40:N40" si="12">SUM(I20:I39)</f>
        <v>1111.1398809523812</v>
      </c>
      <c r="J40" s="250">
        <f t="shared" si="12"/>
        <v>222227.97619047618</v>
      </c>
      <c r="K40" s="251">
        <f t="shared" si="12"/>
        <v>917.29813000000024</v>
      </c>
      <c r="L40" s="251">
        <f t="shared" si="12"/>
        <v>50.192906999999998</v>
      </c>
      <c r="M40" s="251">
        <f t="shared" si="12"/>
        <v>22.727282000000002</v>
      </c>
      <c r="N40" s="252">
        <f t="shared" si="12"/>
        <v>129.18673100000001</v>
      </c>
    </row>
    <row r="41" spans="1:14" ht="13.5" thickBot="1" x14ac:dyDescent="0.25">
      <c r="A41" s="106" t="s">
        <v>23</v>
      </c>
      <c r="B41" s="107"/>
      <c r="C41" s="107"/>
      <c r="D41" s="107"/>
      <c r="E41" s="107"/>
      <c r="F41" s="212"/>
      <c r="G41" s="107"/>
      <c r="H41" s="107"/>
      <c r="I41" s="107"/>
      <c r="J41" s="107"/>
      <c r="K41" s="107"/>
      <c r="L41" s="107"/>
      <c r="M41" s="107"/>
      <c r="N41" s="108"/>
    </row>
    <row r="42" spans="1:14" x14ac:dyDescent="0.2">
      <c r="A42" s="248" t="s">
        <v>72</v>
      </c>
      <c r="B42" s="141" t="str">
        <f>VLOOKUP($A42,NSN!$A:$B,2,FALSE)</f>
        <v>C902859</v>
      </c>
      <c r="C42" s="142" t="str">
        <f>VLOOKUP($A42,CODIGOS!$B:$E,4,FALSE)</f>
        <v>KG</v>
      </c>
      <c r="D42" s="143">
        <f t="shared" ref="D42:D56" si="13">($F42*$I$3)/1000</f>
        <v>0.48</v>
      </c>
      <c r="E42" s="143" t="str">
        <f>IF(VLOOKUP($B42,CODIGOS!$A:$F,6,0)&lt;&gt;1000,(($F42*$I$3)/VLOOKUP($B42,CODIGOS!$A:$F,6,0)),"")</f>
        <v/>
      </c>
      <c r="F42" s="207">
        <v>6</v>
      </c>
      <c r="G42" s="144">
        <f>(F42/1000)*VLOOKUP($B42,CODIGOS!$A:$G,7,0)</f>
        <v>6.0000000000000001E-3</v>
      </c>
      <c r="H42" s="25">
        <f>VLOOKUP($A42,CODIGOS!$B:$D,2,FALSE)</f>
        <v>2986</v>
      </c>
      <c r="I42" s="25">
        <f>IF($H42="S/STOCK","",$J42/$I$3)</f>
        <v>17.916</v>
      </c>
      <c r="J42" s="25">
        <f t="shared" ref="J42:J56" si="14">IF(H42="S/STOCK","",IF($E42="",$D42*$H42,$E42*$H42))</f>
        <v>1433.28</v>
      </c>
      <c r="K42" s="144">
        <f>VLOOKUP($B42,CODIGOS!$A:$K,8,0)*$G42*1000</f>
        <v>21.54</v>
      </c>
      <c r="L42" s="144">
        <f>VLOOKUP($B42,CODIGOS!$A:$K,9,0)*$G42*1000</f>
        <v>0</v>
      </c>
      <c r="M42" s="144">
        <f>VLOOKUP($B42,CODIGOS!$A:$K,10,0)*$G42*1000</f>
        <v>0</v>
      </c>
      <c r="N42" s="220">
        <f>VLOOKUP($B42,CODIGOS!$A:$K,11,0)*$G42*1000</f>
        <v>5.3759999999999994</v>
      </c>
    </row>
    <row r="43" spans="1:14" x14ac:dyDescent="0.2">
      <c r="A43" s="248" t="s">
        <v>13</v>
      </c>
      <c r="B43" s="122" t="str">
        <f>VLOOKUP($A43,NSN!$A:$B,2,FALSE)</f>
        <v>V000415</v>
      </c>
      <c r="C43" s="123" t="str">
        <f>VLOOKUP($A43,CODIGOS!$B:$E,4,FALSE)</f>
        <v>KG</v>
      </c>
      <c r="D43" s="124">
        <f t="shared" si="13"/>
        <v>4</v>
      </c>
      <c r="E43" s="124" t="str">
        <f>IF(VLOOKUP($B43,CODIGOS!$A:$F,6,0)&lt;&gt;1000,(($F43*$I$3)/VLOOKUP($B43,CODIGOS!$A:$F,6,0)),"")</f>
        <v/>
      </c>
      <c r="F43" s="206">
        <v>50</v>
      </c>
      <c r="G43" s="125">
        <f>(F43/1000)*VLOOKUP($B43,CODIGOS!$A:$G,7,0)</f>
        <v>0.05</v>
      </c>
      <c r="H43" s="24">
        <f>VLOOKUP($A43,CODIGOS!$B:$D,2,FALSE)</f>
        <v>1783</v>
      </c>
      <c r="I43" s="24">
        <f t="shared" ref="I43:I56" si="15">IF($H43="S/STOCK","",$J43/$I$3)</f>
        <v>89.15</v>
      </c>
      <c r="J43" s="24">
        <f t="shared" si="14"/>
        <v>7132</v>
      </c>
      <c r="K43" s="125">
        <f>VLOOKUP($B43,CODIGOS!$A:$K,8,0)*$G43*1000</f>
        <v>157.5</v>
      </c>
      <c r="L43" s="125">
        <f>VLOOKUP($B43,CODIGOS!$A:$K,9,0)*$G43*1000</f>
        <v>4.0999999999999996</v>
      </c>
      <c r="M43" s="125">
        <f>VLOOKUP($B43,CODIGOS!$A:$K,10,0)*$G43*1000</f>
        <v>2</v>
      </c>
      <c r="N43" s="221">
        <f>VLOOKUP($B43,CODIGOS!$A:$K,11,0)*$G43*1000</f>
        <v>30.8</v>
      </c>
    </row>
    <row r="44" spans="1:14" x14ac:dyDescent="0.2">
      <c r="A44" s="248" t="s">
        <v>648</v>
      </c>
      <c r="B44" s="122" t="str">
        <f>VLOOKUP($A44,NSN!$A:$B,2,FALSE)</f>
        <v>C902848</v>
      </c>
      <c r="C44" s="123" t="str">
        <f>VLOOKUP($A44,CODIGOS!$B:$E,4,FALSE)</f>
        <v>KG</v>
      </c>
      <c r="D44" s="124">
        <f t="shared" si="13"/>
        <v>1</v>
      </c>
      <c r="E44" s="124" t="str">
        <f>IF(VLOOKUP($B44,CODIGOS!$A:$F,6,0)&lt;&gt;1000,(($F44*$I$3)/VLOOKUP($B44,CODIGOS!$A:$F,6,0)),"")</f>
        <v/>
      </c>
      <c r="F44" s="520">
        <v>12.5</v>
      </c>
      <c r="G44" s="125">
        <f>(F44/1000)*VLOOKUP($B44,CODIGOS!$A:$G,7,0)</f>
        <v>1.2500000000000001E-2</v>
      </c>
      <c r="H44" s="24">
        <f>VLOOKUP($A44,CODIGOS!$B:$D,2,FALSE)</f>
        <v>2024</v>
      </c>
      <c r="I44" s="24">
        <f t="shared" si="15"/>
        <v>25.3</v>
      </c>
      <c r="J44" s="24">
        <f t="shared" ref="J44:J47" si="16">IF(H44="S/STOCK","",IF($E44="",$D44*$H44,$E44*$H44))</f>
        <v>2024</v>
      </c>
      <c r="K44" s="125">
        <f>VLOOKUP($B44,CODIGOS!$A:$K,8,0)*$G44*1000</f>
        <v>37.625</v>
      </c>
      <c r="L44" s="125">
        <f>VLOOKUP($B44,CODIGOS!$A:$K,9,0)*$G44*1000</f>
        <v>0.78749999999999998</v>
      </c>
      <c r="M44" s="125">
        <f>VLOOKUP($B44,CODIGOS!$A:$K,10,0)*$G44*1000</f>
        <v>0.27500000000000002</v>
      </c>
      <c r="N44" s="221">
        <f>VLOOKUP($B44,CODIGOS!$A:$K,11,0)*$G44*1000</f>
        <v>8</v>
      </c>
    </row>
    <row r="45" spans="1:14" x14ac:dyDescent="0.2">
      <c r="A45" s="248" t="s">
        <v>615</v>
      </c>
      <c r="B45" s="122" t="str">
        <f>VLOOKUP($A45,NSN!$A:$B,2,FALSE)</f>
        <v>V000333</v>
      </c>
      <c r="C45" s="123" t="str">
        <f>VLOOKUP($A45,CODIGOS!$B:$E,4,FALSE)</f>
        <v>NR (250 g)</v>
      </c>
      <c r="D45" s="124">
        <f t="shared" si="13"/>
        <v>8</v>
      </c>
      <c r="E45" s="124">
        <f>IF(VLOOKUP($B45,CODIGOS!$A:$F,6,0)&lt;&gt;1000,(($F45*$I$3)/VLOOKUP($B45,CODIGOS!$A:$F,6,0)),"")</f>
        <v>32</v>
      </c>
      <c r="F45" s="520">
        <v>100</v>
      </c>
      <c r="G45" s="125">
        <f>(F45/1000)*VLOOKUP($B45,CODIGOS!$A:$G,7,0)</f>
        <v>9.4799999999999995E-2</v>
      </c>
      <c r="H45" s="24">
        <f>VLOOKUP($A45,CODIGOS!$B:$D,2,FALSE)</f>
        <v>796</v>
      </c>
      <c r="I45" s="24">
        <f t="shared" si="15"/>
        <v>318.39999999999998</v>
      </c>
      <c r="J45" s="24">
        <f t="shared" si="16"/>
        <v>25472</v>
      </c>
      <c r="K45" s="125">
        <f>VLOOKUP($B45,CODIGOS!$A:$K,8,0)*$G45*1000</f>
        <v>16.116000000000003</v>
      </c>
      <c r="L45" s="125">
        <f>VLOOKUP($B45,CODIGOS!$A:$K,9,0)*$G45*1000</f>
        <v>1.2323999999999999</v>
      </c>
      <c r="M45" s="125">
        <f>VLOOKUP($B45,CODIGOS!$A:$K,10,0)*$G45*1000</f>
        <v>0.28439999999999999</v>
      </c>
      <c r="N45" s="221">
        <f>VLOOKUP($B45,CODIGOS!$A:$K,11,0)*$G45*1000</f>
        <v>2.1803999999999997</v>
      </c>
    </row>
    <row r="46" spans="1:14" x14ac:dyDescent="0.2">
      <c r="A46" s="248" t="s">
        <v>56</v>
      </c>
      <c r="B46" s="122" t="str">
        <f>VLOOKUP($A46,NSN!$A:$B,2,FALSE)</f>
        <v>C000249</v>
      </c>
      <c r="C46" s="123" t="str">
        <f>VLOOKUP($A46,CODIGOS!$B:$E,4,FALSE)</f>
        <v>KG</v>
      </c>
      <c r="D46" s="124">
        <f t="shared" si="13"/>
        <v>1.6</v>
      </c>
      <c r="E46" s="124" t="str">
        <f>IF(VLOOKUP($B46,CODIGOS!$A:$F,6,0)&lt;&gt;1000,(($F46*$I$3)/VLOOKUP($B46,CODIGOS!$A:$F,6,0)),"")</f>
        <v/>
      </c>
      <c r="F46" s="520">
        <v>20</v>
      </c>
      <c r="G46" s="125">
        <f>(F46/1000)*VLOOKUP($B46,CODIGOS!$A:$G,7,0)</f>
        <v>1.7819999999999999E-2</v>
      </c>
      <c r="H46" s="24">
        <f>VLOOKUP($A46,CODIGOS!$B:$D,2,FALSE)</f>
        <v>640</v>
      </c>
      <c r="I46" s="24">
        <f t="shared" si="15"/>
        <v>12.8</v>
      </c>
      <c r="J46" s="24">
        <f t="shared" si="16"/>
        <v>1024</v>
      </c>
      <c r="K46" s="125">
        <f>VLOOKUP($B46,CODIGOS!$A:$K,8,0)*$G46*1000</f>
        <v>7.6625999999999994</v>
      </c>
      <c r="L46" s="125">
        <f>VLOOKUP($B46,CODIGOS!$A:$K,9,0)*$G46*1000</f>
        <v>0.14255999999999999</v>
      </c>
      <c r="M46" s="125">
        <f>VLOOKUP($B46,CODIGOS!$A:$K,10,0)*$G46*1000</f>
        <v>3.5639999999999998E-2</v>
      </c>
      <c r="N46" s="221">
        <f>VLOOKUP($B46,CODIGOS!$A:$K,11,0)*$G46*1000</f>
        <v>1.71072</v>
      </c>
    </row>
    <row r="47" spans="1:14" x14ac:dyDescent="0.2">
      <c r="A47" s="248" t="s">
        <v>147</v>
      </c>
      <c r="B47" s="122" t="str">
        <f>VLOOKUP($A47,NSN!$A:$B,2,FALSE)</f>
        <v>V000014</v>
      </c>
      <c r="C47" s="123" t="str">
        <f>VLOOKUP($A47,CODIGOS!$B:$E,4,FALSE)</f>
        <v>NR 35 g</v>
      </c>
      <c r="D47" s="124">
        <f t="shared" si="13"/>
        <v>0.04</v>
      </c>
      <c r="E47" s="124">
        <f>IF(VLOOKUP($B47,CODIGOS!$A:$F,6,0)&lt;&gt;1000,(($F47*$I$3)/VLOOKUP($B47,CODIGOS!$A:$F,6,0)),"")</f>
        <v>1.1428571428571428</v>
      </c>
      <c r="F47" s="520">
        <v>0.5</v>
      </c>
      <c r="G47" s="125">
        <f>(F47/1000)*VLOOKUP($B47,CODIGOS!$A:$G,7,0)</f>
        <v>5.0000000000000001E-4</v>
      </c>
      <c r="H47" s="24">
        <f>VLOOKUP($A47,CODIGOS!$B:$D,2,FALSE)</f>
        <v>297</v>
      </c>
      <c r="I47" s="24">
        <f t="shared" si="15"/>
        <v>4.242857142857142</v>
      </c>
      <c r="J47" s="24">
        <f t="shared" si="16"/>
        <v>339.42857142857139</v>
      </c>
      <c r="K47" s="125">
        <f>VLOOKUP($B47,CODIGOS!$A:$K,8,0)*$G47*1000</f>
        <v>0.69499999999999995</v>
      </c>
      <c r="L47" s="125">
        <f>VLOOKUP($B47,CODIGOS!$A:$K,9,0)*$G47*1000</f>
        <v>3.3500000000000002E-2</v>
      </c>
      <c r="M47" s="125">
        <f>VLOOKUP($B47,CODIGOS!$A:$K,10,0)*$G47*1000</f>
        <v>2E-3</v>
      </c>
      <c r="N47" s="221">
        <f>VLOOKUP($B47,CODIGOS!$A:$K,11,0)*$G47*1000</f>
        <v>0.13600000000000004</v>
      </c>
    </row>
    <row r="48" spans="1:14" x14ac:dyDescent="0.2">
      <c r="A48" s="248" t="s">
        <v>199</v>
      </c>
      <c r="B48" s="122" t="str">
        <f>VLOOKUP($A48,NSN!$A:$B,2,FALSE)</f>
        <v>V000330</v>
      </c>
      <c r="C48" s="123" t="str">
        <f>VLOOKUP($A48,CODIGOS!$B:$E,4,FALSE)</f>
        <v>KG</v>
      </c>
      <c r="D48" s="124">
        <f t="shared" si="13"/>
        <v>1.2</v>
      </c>
      <c r="E48" s="124" t="str">
        <f>IF(VLOOKUP($B48,CODIGOS!$A:$F,6,0)&lt;&gt;1000,(($F48*$I$3)/VLOOKUP($B48,CODIGOS!$A:$F,6,0)),"")</f>
        <v/>
      </c>
      <c r="F48" s="520">
        <v>15</v>
      </c>
      <c r="G48" s="125">
        <f>(F48/1000)*VLOOKUP($B48,CODIGOS!$A:$G,7,0)</f>
        <v>1.353E-2</v>
      </c>
      <c r="H48" s="24">
        <f>VLOOKUP($A48,CODIGOS!$B:$D,2,FALSE)</f>
        <v>1287</v>
      </c>
      <c r="I48" s="24">
        <f t="shared" si="15"/>
        <v>19.305</v>
      </c>
      <c r="J48" s="24">
        <f t="shared" ref="J48:J50" si="17">IF(H48="S/STOCK","",IF($E48="",$D48*$H48,$E48*$H48))</f>
        <v>1544.3999999999999</v>
      </c>
      <c r="K48" s="125">
        <f>VLOOKUP($B48,CODIGOS!$A:$K,8,0)*$G48*1000</f>
        <v>11.6358</v>
      </c>
      <c r="L48" s="125">
        <f>VLOOKUP($B48,CODIGOS!$A:$K,9,0)*$G48*1000</f>
        <v>0.12177000000000002</v>
      </c>
      <c r="M48" s="125">
        <f>VLOOKUP($B48,CODIGOS!$A:$K,10,0)*$G48*1000</f>
        <v>6.7650000000000002E-2</v>
      </c>
      <c r="N48" s="221">
        <f>VLOOKUP($B48,CODIGOS!$A:$K,11,0)*$G48*1000</f>
        <v>1.0959300000000001</v>
      </c>
    </row>
    <row r="49" spans="1:14" x14ac:dyDescent="0.2">
      <c r="A49" s="248" t="s">
        <v>429</v>
      </c>
      <c r="B49" s="122" t="str">
        <f>VLOOKUP($A49,NSN!$A:$B,2,FALSE)</f>
        <v>C902472</v>
      </c>
      <c r="C49" s="123" t="str">
        <f>VLOOKUP($A49,CODIGOS!$B:$E,4,FALSE)</f>
        <v>KG</v>
      </c>
      <c r="D49" s="124">
        <f t="shared" si="13"/>
        <v>8.8000000000000007</v>
      </c>
      <c r="E49" s="124" t="str">
        <f>IF(VLOOKUP($B49,CODIGOS!$A:$F,6,0)&lt;&gt;1000,(($F49*$I$3)/VLOOKUP($B49,CODIGOS!$A:$F,6,0)),"")</f>
        <v/>
      </c>
      <c r="F49" s="520">
        <v>110</v>
      </c>
      <c r="G49" s="125">
        <f>(F49/1000)*VLOOKUP($B49,CODIGOS!$A:$G,7,0)</f>
        <v>7.1279999999999996E-2</v>
      </c>
      <c r="H49" s="24">
        <f>VLOOKUP($A49,CODIGOS!$B:$D,2,FALSE)</f>
        <v>4940</v>
      </c>
      <c r="I49" s="24">
        <f t="shared" si="15"/>
        <v>543.4</v>
      </c>
      <c r="J49" s="24">
        <f t="shared" si="17"/>
        <v>43472</v>
      </c>
      <c r="K49" s="125">
        <f>VLOOKUP($B49,CODIGOS!$A:$K,8,0)*$G49*1000</f>
        <v>92.664000000000001</v>
      </c>
      <c r="L49" s="125">
        <f>VLOOKUP($B49,CODIGOS!$A:$K,9,0)*$G49*1000</f>
        <v>15.325199999999999</v>
      </c>
      <c r="M49" s="125">
        <f>VLOOKUP($B49,CODIGOS!$A:$K,10,0)*$G49*1000</f>
        <v>2.99376</v>
      </c>
      <c r="N49" s="221">
        <f>VLOOKUP($B49,CODIGOS!$A:$K,11,0)*$G49*1000</f>
        <v>3.0650399999999998</v>
      </c>
    </row>
    <row r="50" spans="1:14" x14ac:dyDescent="0.2">
      <c r="A50" s="248" t="s">
        <v>100</v>
      </c>
      <c r="B50" s="122" t="str">
        <f>VLOOKUP($A50,NSN!$A:$B,2,FALSE)</f>
        <v>V000272</v>
      </c>
      <c r="C50" s="123" t="str">
        <f>VLOOKUP($A50,CODIGOS!$B:$E,4,FALSE)</f>
        <v>KG</v>
      </c>
      <c r="D50" s="124">
        <f t="shared" si="13"/>
        <v>0.8</v>
      </c>
      <c r="E50" s="124" t="str">
        <f>IF(VLOOKUP($B50,CODIGOS!$A:$F,6,0)&lt;&gt;1000,(($F50*$I$3)/VLOOKUP($B50,CODIGOS!$A:$F,6,0)),"")</f>
        <v/>
      </c>
      <c r="F50" s="520">
        <v>10</v>
      </c>
      <c r="G50" s="125">
        <f>(F50/1000)*VLOOKUP($B50,CODIGOS!$A:$G,7,0)</f>
        <v>0.01</v>
      </c>
      <c r="H50" s="24">
        <f>VLOOKUP($A50,CODIGOS!$B:$D,2,FALSE)</f>
        <v>7291</v>
      </c>
      <c r="I50" s="24">
        <f t="shared" si="15"/>
        <v>72.91</v>
      </c>
      <c r="J50" s="24">
        <f t="shared" si="17"/>
        <v>5832.8</v>
      </c>
      <c r="K50" s="125">
        <f>VLOOKUP($B50,CODIGOS!$A:$K,8,0)*$G50*1000</f>
        <v>35.1</v>
      </c>
      <c r="L50" s="125">
        <f>VLOOKUP($B50,CODIGOS!$A:$K,9,0)*$G50*1000</f>
        <v>2.4900000000000002</v>
      </c>
      <c r="M50" s="125">
        <f>VLOOKUP($B50,CODIGOS!$A:$K,10,0)*$G50*1000</f>
        <v>2.56</v>
      </c>
      <c r="N50" s="221">
        <f>VLOOKUP($B50,CODIGOS!$A:$K,11,0)*$G50*1000</f>
        <v>0.52</v>
      </c>
    </row>
    <row r="51" spans="1:14" x14ac:dyDescent="0.2">
      <c r="A51" s="248" t="s">
        <v>653</v>
      </c>
      <c r="B51" s="122" t="str">
        <f>VLOOKUP($A51,NSN!$A:$B,2,FALSE)</f>
        <v>C000528</v>
      </c>
      <c r="C51" s="123" t="str">
        <f>VLOOKUP($A51,CODIGOS!$B:$E,4,FALSE)</f>
        <v>KG</v>
      </c>
      <c r="D51" s="124">
        <f t="shared" si="13"/>
        <v>0.04</v>
      </c>
      <c r="E51" s="124" t="str">
        <f>IF(VLOOKUP($B51,CODIGOS!$A:$F,6,0)&lt;&gt;1000,(($F51*$I$3)/VLOOKUP($B51,CODIGOS!$A:$F,6,0)),"")</f>
        <v/>
      </c>
      <c r="F51" s="520">
        <v>0.5</v>
      </c>
      <c r="G51" s="125">
        <f>(F51/1000)*VLOOKUP($B51,CODIGOS!$A:$G,7,0)</f>
        <v>5.0000000000000001E-4</v>
      </c>
      <c r="H51" s="24">
        <f>VLOOKUP($A51,CODIGOS!$B:$D,2,FALSE)</f>
        <v>375</v>
      </c>
      <c r="I51" s="24">
        <f t="shared" si="15"/>
        <v>0.1875</v>
      </c>
      <c r="J51" s="24">
        <f t="shared" ref="J51:J53" si="18">IF(H51="S/STOCK","",IF($E51="",$D51*$H51,$E51*$H51))</f>
        <v>15</v>
      </c>
      <c r="K51" s="125">
        <f>VLOOKUP($B51,CODIGOS!$A:$K,8,0)*$G51*1000</f>
        <v>0</v>
      </c>
      <c r="L51" s="125">
        <f>VLOOKUP($B51,CODIGOS!$A:$K,9,0)*$G51*1000</f>
        <v>0</v>
      </c>
      <c r="M51" s="125">
        <f>VLOOKUP($B51,CODIGOS!$A:$K,10,0)*$G51*1000</f>
        <v>0</v>
      </c>
      <c r="N51" s="221">
        <f>VLOOKUP($B51,CODIGOS!$A:$K,11,0)*$G51*1000</f>
        <v>0</v>
      </c>
    </row>
    <row r="52" spans="1:14" x14ac:dyDescent="0.2">
      <c r="A52" s="248" t="s">
        <v>2028</v>
      </c>
      <c r="B52" s="122" t="str">
        <f>VLOOKUP($A52,NSN!$A:$B,2,FALSE)</f>
        <v>C902636</v>
      </c>
      <c r="C52" s="123" t="str">
        <f>VLOOKUP($A52,CODIGOS!$B:$E,4,FALSE)</f>
        <v>900 ML</v>
      </c>
      <c r="D52" s="124">
        <f t="shared" si="13"/>
        <v>0.4</v>
      </c>
      <c r="E52" s="124">
        <f>IF(VLOOKUP($B52,CODIGOS!$A:$F,6,0)&lt;&gt;1000,(($F52*$I$3)/VLOOKUP($B52,CODIGOS!$A:$F,6,0)),"")</f>
        <v>0.44444444444444442</v>
      </c>
      <c r="F52" s="520">
        <v>5</v>
      </c>
      <c r="G52" s="125">
        <f>(F52/1000)*VLOOKUP($B52,CODIGOS!$A:$G,7,0)</f>
        <v>5.0000000000000001E-3</v>
      </c>
      <c r="H52" s="24">
        <f>VLOOKUP($A52,CODIGOS!$B:$D,2,FALSE)</f>
        <v>1500</v>
      </c>
      <c r="I52" s="24">
        <f t="shared" si="15"/>
        <v>8.3333333333333321</v>
      </c>
      <c r="J52" s="24">
        <f t="shared" si="18"/>
        <v>666.66666666666663</v>
      </c>
      <c r="K52" s="125">
        <f>VLOOKUP($B52,CODIGOS!$A:$K,8,0)*$G52*1000</f>
        <v>44.2</v>
      </c>
      <c r="L52" s="125">
        <f>VLOOKUP($B52,CODIGOS!$A:$K,9,0)*$G52*1000</f>
        <v>0</v>
      </c>
      <c r="M52" s="125">
        <f>VLOOKUP($B52,CODIGOS!$A:$K,10,0)*$G52*1000</f>
        <v>5</v>
      </c>
      <c r="N52" s="221">
        <f>VLOOKUP($B52,CODIGOS!$A:$K,11,0)*$G52*1000</f>
        <v>0</v>
      </c>
    </row>
    <row r="53" spans="1:14" x14ac:dyDescent="0.2">
      <c r="A53" s="248" t="s">
        <v>417</v>
      </c>
      <c r="B53" s="122" t="str">
        <f>VLOOKUP($A53,NSN!$A:$B,2,FALSE)</f>
        <v>C903293</v>
      </c>
      <c r="C53" s="123" t="str">
        <f>VLOOKUP($A53,CODIGOS!$B:$E,4,FALSE)</f>
        <v>KG</v>
      </c>
      <c r="D53" s="124">
        <f t="shared" si="13"/>
        <v>17.600000000000001</v>
      </c>
      <c r="E53" s="124" t="str">
        <f>IF(VLOOKUP($B53,CODIGOS!$A:$F,6,0)&lt;&gt;1000,(($F53*$I$3)/VLOOKUP($B53,CODIGOS!$A:$F,6,0)),"")</f>
        <v/>
      </c>
      <c r="F53" s="520">
        <v>220</v>
      </c>
      <c r="G53" s="125">
        <f>(F53/1000)*VLOOKUP($B53,CODIGOS!$A:$G,7,0)</f>
        <v>0.22</v>
      </c>
      <c r="H53" s="24">
        <f>VLOOKUP($A53,CODIGOS!$B:$D,2,FALSE)</f>
        <v>1874</v>
      </c>
      <c r="I53" s="24">
        <f t="shared" si="15"/>
        <v>412.28000000000003</v>
      </c>
      <c r="J53" s="24">
        <f t="shared" si="18"/>
        <v>32982.400000000001</v>
      </c>
      <c r="K53" s="125">
        <f>VLOOKUP($B53,CODIGOS!$A:$K,8,0)*$G53*1000</f>
        <v>303.59999999999997</v>
      </c>
      <c r="L53" s="125">
        <f>VLOOKUP($B53,CODIGOS!$A:$K,9,0)*$G53*1000</f>
        <v>5.0600000000000005</v>
      </c>
      <c r="M53" s="125">
        <f>VLOOKUP($B53,CODIGOS!$A:$K,10,0)*$G53*1000</f>
        <v>8.58</v>
      </c>
      <c r="N53" s="221">
        <f>VLOOKUP($B53,CODIGOS!$A:$K,11,0)*$G53*1000</f>
        <v>48.4</v>
      </c>
    </row>
    <row r="54" spans="1:14" x14ac:dyDescent="0.2">
      <c r="A54" s="248" t="s">
        <v>653</v>
      </c>
      <c r="B54" s="122" t="str">
        <f>VLOOKUP($A54,NSN!$A:$B,2,FALSE)</f>
        <v>C000528</v>
      </c>
      <c r="C54" s="123" t="str">
        <f>VLOOKUP($A54,CODIGOS!$B:$E,4,FALSE)</f>
        <v>KG</v>
      </c>
      <c r="D54" s="124">
        <f t="shared" si="13"/>
        <v>0.04</v>
      </c>
      <c r="E54" s="124" t="str">
        <f>IF(VLOOKUP($B54,CODIGOS!$A:$F,6,0)&lt;&gt;1000,(($F54*$I$3)/VLOOKUP($B54,CODIGOS!$A:$F,6,0)),"")</f>
        <v/>
      </c>
      <c r="F54" s="520">
        <v>0.5</v>
      </c>
      <c r="G54" s="125">
        <f>(F54/1000)*VLOOKUP($B54,CODIGOS!$A:$G,7,0)</f>
        <v>5.0000000000000001E-4</v>
      </c>
      <c r="H54" s="24">
        <f>VLOOKUP($A54,CODIGOS!$B:$D,2,FALSE)</f>
        <v>375</v>
      </c>
      <c r="I54" s="24">
        <f t="shared" si="15"/>
        <v>0.1875</v>
      </c>
      <c r="J54" s="24">
        <f t="shared" ref="J54:J55" si="19">IF(H54="S/STOCK","",IF($E54="",$D54*$H54,$E54*$H54))</f>
        <v>15</v>
      </c>
      <c r="K54" s="125">
        <f>VLOOKUP($B54,CODIGOS!$A:$K,8,0)*$G54*1000</f>
        <v>0</v>
      </c>
      <c r="L54" s="125">
        <f>VLOOKUP($B54,CODIGOS!$A:$K,9,0)*$G54*1000</f>
        <v>0</v>
      </c>
      <c r="M54" s="125">
        <f>VLOOKUP($B54,CODIGOS!$A:$K,10,0)*$G54*1000</f>
        <v>0</v>
      </c>
      <c r="N54" s="221">
        <f>VLOOKUP($B54,CODIGOS!$A:$K,11,0)*$G54*1000</f>
        <v>0</v>
      </c>
    </row>
    <row r="55" spans="1:14" x14ac:dyDescent="0.2">
      <c r="A55" s="248" t="s">
        <v>2028</v>
      </c>
      <c r="B55" s="122" t="str">
        <f>VLOOKUP($A55,NSN!$A:$B,2,FALSE)</f>
        <v>C902636</v>
      </c>
      <c r="C55" s="123" t="str">
        <f>VLOOKUP($A55,CODIGOS!$B:$E,4,FALSE)</f>
        <v>900 ML</v>
      </c>
      <c r="D55" s="124">
        <f t="shared" si="13"/>
        <v>2.4</v>
      </c>
      <c r="E55" s="124">
        <f>IF(VLOOKUP($B55,CODIGOS!$A:$F,6,0)&lt;&gt;1000,(($F55*$I$3)/VLOOKUP($B55,CODIGOS!$A:$F,6,0)),"")</f>
        <v>2.6666666666666665</v>
      </c>
      <c r="F55" s="520">
        <v>30</v>
      </c>
      <c r="G55" s="125">
        <f>(F55/1000)*VLOOKUP($B55,CODIGOS!$A:$G,7,0)</f>
        <v>0.03</v>
      </c>
      <c r="H55" s="24">
        <f>VLOOKUP($A55,CODIGOS!$B:$D,2,FALSE)</f>
        <v>1500</v>
      </c>
      <c r="I55" s="24">
        <f t="shared" si="15"/>
        <v>50</v>
      </c>
      <c r="J55" s="24">
        <f t="shared" si="19"/>
        <v>4000</v>
      </c>
      <c r="K55" s="125">
        <f>VLOOKUP($B55,CODIGOS!$A:$K,8,0)*$G55*1000</f>
        <v>265.2</v>
      </c>
      <c r="L55" s="125">
        <f>VLOOKUP($B55,CODIGOS!$A:$K,9,0)*$G55*1000</f>
        <v>0</v>
      </c>
      <c r="M55" s="125">
        <f>VLOOKUP($B55,CODIGOS!$A:$K,10,0)*$G55*1000</f>
        <v>30</v>
      </c>
      <c r="N55" s="221">
        <f>VLOOKUP($B55,CODIGOS!$A:$K,11,0)*$G55*1000</f>
        <v>0</v>
      </c>
    </row>
    <row r="56" spans="1:14" ht="13.5" thickBot="1" x14ac:dyDescent="0.25">
      <c r="A56" s="248" t="s">
        <v>309</v>
      </c>
      <c r="B56" s="148" t="str">
        <f>VLOOKUP($A56,NSN!$A:$B,2,FALSE)</f>
        <v>C902851</v>
      </c>
      <c r="C56" s="149" t="str">
        <f>VLOOKUP($A56,CODIGOS!$B:$E,4,FALSE)</f>
        <v>KG</v>
      </c>
      <c r="D56" s="150">
        <f t="shared" si="13"/>
        <v>1.6</v>
      </c>
      <c r="E56" s="150" t="str">
        <f>IF(VLOOKUP($B56,CODIGOS!$A:$F,6,0)&lt;&gt;1000,(($F56*$I$3)/VLOOKUP($B56,CODIGOS!$A:$F,6,0)),"")</f>
        <v/>
      </c>
      <c r="F56" s="518">
        <v>20</v>
      </c>
      <c r="G56" s="137">
        <f>(F56/1000)*VLOOKUP($B56,CODIGOS!$A:$G,7,0)</f>
        <v>0.02</v>
      </c>
      <c r="H56" s="222">
        <f>VLOOKUP($A56,CODIGOS!$B:$D,2,FALSE)</f>
        <v>2418</v>
      </c>
      <c r="I56" s="222">
        <f t="shared" si="15"/>
        <v>48.36</v>
      </c>
      <c r="J56" s="222">
        <f t="shared" si="14"/>
        <v>3868.8</v>
      </c>
      <c r="K56" s="137">
        <f>VLOOKUP($B56,CODIGOS!$A:$K,8,0)*$G56*1000</f>
        <v>74.800000000000011</v>
      </c>
      <c r="L56" s="137">
        <f>VLOOKUP($B56,CODIGOS!$A:$K,9,0)*$G56*1000</f>
        <v>0.5</v>
      </c>
      <c r="M56" s="137">
        <f>VLOOKUP($B56,CODIGOS!$A:$K,10,0)*$G56*1000</f>
        <v>0.44000000000000006</v>
      </c>
      <c r="N56" s="223">
        <f>VLOOKUP($B56,CODIGOS!$A:$K,11,0)*$G56*1000</f>
        <v>17.2</v>
      </c>
    </row>
    <row r="57" spans="1:14" ht="13.5" thickBot="1" x14ac:dyDescent="0.25">
      <c r="A57" s="17" t="s">
        <v>627</v>
      </c>
      <c r="B57" s="33"/>
      <c r="C57" s="18"/>
      <c r="D57" s="126"/>
      <c r="E57" s="126"/>
      <c r="F57" s="211"/>
      <c r="G57" s="19"/>
      <c r="H57" s="41"/>
      <c r="I57" s="224">
        <f t="shared" ref="I57:N57" si="20">SUM(I42:I56)</f>
        <v>1622.7721904761902</v>
      </c>
      <c r="J57" s="225">
        <f t="shared" si="20"/>
        <v>129821.77523809524</v>
      </c>
      <c r="K57" s="226">
        <f t="shared" si="20"/>
        <v>1068.3383999999999</v>
      </c>
      <c r="L57" s="226">
        <f t="shared" si="20"/>
        <v>29.792929999999998</v>
      </c>
      <c r="M57" s="226">
        <f t="shared" si="20"/>
        <v>52.23845</v>
      </c>
      <c r="N57" s="227">
        <f t="shared" si="20"/>
        <v>118.48409000000001</v>
      </c>
    </row>
    <row r="58" spans="1:14" ht="13.5" thickBot="1" x14ac:dyDescent="0.25">
      <c r="A58" s="17"/>
      <c r="B58" s="17"/>
      <c r="C58" s="18"/>
      <c r="D58" s="19"/>
      <c r="E58" s="19"/>
      <c r="F58" s="213"/>
      <c r="G58" s="19"/>
      <c r="H58" s="26"/>
      <c r="I58" s="42"/>
      <c r="J58" s="42" t="s">
        <v>892</v>
      </c>
      <c r="K58" s="232">
        <f>K18+K40+K57</f>
        <v>2424.1615300000003</v>
      </c>
      <c r="L58" s="233">
        <f>L18+L40+L57</f>
        <v>96.444836999999993</v>
      </c>
      <c r="M58" s="233">
        <f>M18+M40+M57</f>
        <v>79.036732000000001</v>
      </c>
      <c r="N58" s="234">
        <f>N18+N40+N57</f>
        <v>330.81882100000001</v>
      </c>
    </row>
    <row r="59" spans="1:14" ht="13.5" thickBot="1" x14ac:dyDescent="0.25">
      <c r="A59" s="17" t="s">
        <v>627</v>
      </c>
      <c r="B59" s="17"/>
      <c r="C59" s="17"/>
      <c r="D59" s="19"/>
      <c r="E59" s="19"/>
      <c r="F59" s="213"/>
      <c r="G59" s="19"/>
      <c r="H59" s="19"/>
      <c r="I59" s="19"/>
      <c r="J59" s="22"/>
      <c r="K59" s="22"/>
      <c r="L59" s="17"/>
      <c r="M59" s="17"/>
      <c r="N59" s="17"/>
    </row>
    <row r="60" spans="1:14" ht="26.25" thickBot="1" x14ac:dyDescent="0.25">
      <c r="A60" s="99" t="s">
        <v>17</v>
      </c>
      <c r="B60" s="100" t="s">
        <v>94</v>
      </c>
      <c r="C60" s="101" t="s">
        <v>18</v>
      </c>
      <c r="D60" s="101" t="s">
        <v>103</v>
      </c>
      <c r="E60" s="101"/>
      <c r="F60" s="214" t="s">
        <v>891</v>
      </c>
      <c r="G60" s="101" t="s">
        <v>91</v>
      </c>
      <c r="H60" s="101" t="s">
        <v>19</v>
      </c>
      <c r="I60" s="101" t="s">
        <v>45</v>
      </c>
      <c r="J60" s="102" t="s">
        <v>20</v>
      </c>
      <c r="K60" s="102" t="s">
        <v>43</v>
      </c>
      <c r="L60" s="103" t="s">
        <v>44</v>
      </c>
      <c r="M60" s="104" t="s">
        <v>207</v>
      </c>
      <c r="N60" s="105" t="s">
        <v>208</v>
      </c>
    </row>
    <row r="61" spans="1:14" ht="13.5" thickBot="1" x14ac:dyDescent="0.25">
      <c r="A61" s="106" t="s">
        <v>216</v>
      </c>
      <c r="B61" s="107"/>
      <c r="C61" s="107"/>
      <c r="D61" s="107"/>
      <c r="E61" s="107"/>
      <c r="F61" s="212"/>
      <c r="G61" s="107"/>
      <c r="H61" s="107"/>
      <c r="I61" s="107"/>
      <c r="J61" s="107"/>
      <c r="K61" s="107"/>
      <c r="L61" s="107"/>
      <c r="M61" s="107"/>
      <c r="N61" s="108"/>
    </row>
    <row r="62" spans="1:14" x14ac:dyDescent="0.2">
      <c r="A62" s="248" t="s">
        <v>410</v>
      </c>
      <c r="B62" s="141" t="str">
        <f>VLOOKUP($A62,NSN!$A:$B,2,FALSE)</f>
        <v>C000367</v>
      </c>
      <c r="C62" s="142" t="str">
        <f>VLOOKUP($A62,CODIGOS!$B:$E,4,FALSE)</f>
        <v>KG</v>
      </c>
      <c r="D62" s="143">
        <f>($F62*$I$3)/1000</f>
        <v>11.428800000000001</v>
      </c>
      <c r="E62" s="143" t="str">
        <f>IF(VLOOKUP($B62,CODIGOS!$A:$F,6,0)&lt;&gt;1000,(($F62*$I$3)/VLOOKUP($B62,CODIGOS!$A:$F,6,0)),"")</f>
        <v/>
      </c>
      <c r="F62" s="215">
        <v>142.86000000000001</v>
      </c>
      <c r="G62" s="144">
        <f>(F62/1000)*VLOOKUP($B62,CODIGOS!$A:$G,7,0)</f>
        <v>0.14286000000000001</v>
      </c>
      <c r="H62" s="25">
        <f>VLOOKUP($A62,CODIGOS!$B:$D,2,FALSE)</f>
        <v>794</v>
      </c>
      <c r="I62" s="25">
        <f>IF($H62="S/STOCK","",$J62/$I$3)</f>
        <v>113.43084000000002</v>
      </c>
      <c r="J62" s="25">
        <f>IF(H62="S/STOCK","",IF($E62="",$D62*$H62,$E62*$H62))</f>
        <v>9074.467200000001</v>
      </c>
      <c r="K62" s="144">
        <f>VLOOKUP($B62,CODIGOS!$A:$K,8,0)*$G62*1000</f>
        <v>497.15280000000007</v>
      </c>
      <c r="L62" s="144">
        <f>VLOOKUP($B62,CODIGOS!$A:$K,9,0)*$G62*1000</f>
        <v>11.428800000000001</v>
      </c>
      <c r="M62" s="144">
        <f>VLOOKUP($B62,CODIGOS!$A:$K,10,0)*$G62*1000</f>
        <v>1.7143200000000003</v>
      </c>
      <c r="N62" s="220">
        <f>VLOOKUP($B62,CODIGOS!$A:$K,11,0)*$G62*1000</f>
        <v>109.14504000000001</v>
      </c>
    </row>
    <row r="63" spans="1:14" x14ac:dyDescent="0.2">
      <c r="A63" s="248" t="s">
        <v>394</v>
      </c>
      <c r="B63" s="122" t="str">
        <f>VLOOKUP($A63,NSN!$A:$B,2,FALSE)</f>
        <v>C000816</v>
      </c>
      <c r="C63" s="123" t="str">
        <f>VLOOKUP($A63,CODIGOS!$B:$E,4,FALSE)</f>
        <v>KG</v>
      </c>
      <c r="D63" s="124">
        <f>($F63*$I$3)/1000</f>
        <v>0.11439999999999999</v>
      </c>
      <c r="E63" s="124" t="str">
        <f>IF(VLOOKUP($B63,CODIGOS!$A:$F,6,0)&lt;&gt;1000,(($F63*$I$3)/VLOOKUP($B63,CODIGOS!$A:$F,6,0)),"")</f>
        <v/>
      </c>
      <c r="F63" s="216">
        <v>1.43</v>
      </c>
      <c r="G63" s="125">
        <f>(F63/1000)*VLOOKUP($B63,CODIGOS!$A:$G,7,0)</f>
        <v>1.4299999999999998E-3</v>
      </c>
      <c r="H63" s="24">
        <f>VLOOKUP($A63,CODIGOS!$B:$D,2,FALSE)</f>
        <v>1128</v>
      </c>
      <c r="I63" s="24">
        <f>IF($H63="S/STOCK","",$J63/$I$3)</f>
        <v>1.6130399999999998</v>
      </c>
      <c r="J63" s="24">
        <f>IF(H63="S/STOCK","",IF($E63="",$D63*$H63,$E63*$H63))</f>
        <v>129.04319999999998</v>
      </c>
      <c r="K63" s="125">
        <f>VLOOKUP($B63,CODIGOS!$A:$K,8,0)*$G63*1000</f>
        <v>5.6913999999999989</v>
      </c>
      <c r="L63" s="125">
        <f>VLOOKUP($B63,CODIGOS!$A:$K,9,0)*$G63*1000</f>
        <v>0</v>
      </c>
      <c r="M63" s="125">
        <f>VLOOKUP($B63,CODIGOS!$A:$K,10,0)*$G63*1000</f>
        <v>0</v>
      </c>
      <c r="N63" s="221">
        <f>VLOOKUP($B63,CODIGOS!$A:$K,11,0)*$G63*1000</f>
        <v>1.4228499999999997</v>
      </c>
    </row>
    <row r="64" spans="1:14" x14ac:dyDescent="0.2">
      <c r="A64" s="248" t="s">
        <v>563</v>
      </c>
      <c r="B64" s="122" t="str">
        <f>VLOOKUP($A64,NSN!$A:$B,2,FALSE)</f>
        <v>V000518</v>
      </c>
      <c r="C64" s="123" t="str">
        <f>VLOOKUP($A64,CODIGOS!$B:$E,4,FALSE)</f>
        <v>EA</v>
      </c>
      <c r="D64" s="124">
        <f>($F64*$I$3)/1000</f>
        <v>0.68559999999999999</v>
      </c>
      <c r="E64" s="124" t="str">
        <f>IF(VLOOKUP($B64,CODIGOS!$A:$F,6,0)&lt;&gt;1000,(($F64*$I$3)/VLOOKUP($B64,CODIGOS!$A:$F,6,0)),"")</f>
        <v/>
      </c>
      <c r="F64" s="216">
        <v>8.57</v>
      </c>
      <c r="G64" s="125">
        <f>(F64/1000)*VLOOKUP($B64,CODIGOS!$A:$G,7,0)</f>
        <v>8.5699999999999995E-3</v>
      </c>
      <c r="H64" s="24">
        <f>VLOOKUP($A64,CODIGOS!$B:$D,2,FALSE)</f>
        <v>3203</v>
      </c>
      <c r="I64" s="24">
        <f>IF($H64="S/STOCK","",$J64/$I$3)</f>
        <v>27.44971</v>
      </c>
      <c r="J64" s="24">
        <f>IF(H64="S/STOCK","",IF($E64="",$D64*$H64,$E64*$H64))</f>
        <v>2195.9767999999999</v>
      </c>
      <c r="K64" s="125">
        <f>VLOOKUP($B64,CODIGOS!$A:$K,8,0)*$G64*1000</f>
        <v>76.872899999999987</v>
      </c>
      <c r="L64" s="125">
        <f>VLOOKUP($B64,CODIGOS!$A:$K,9,0)*$G64*1000</f>
        <v>0</v>
      </c>
      <c r="M64" s="125">
        <f>VLOOKUP($B64,CODIGOS!$A:$K,10,0)*$G64*1000</f>
        <v>8.5442900000000002</v>
      </c>
      <c r="N64" s="221">
        <f>VLOOKUP($B64,CODIGOS!$A:$K,11,0)*$G64*1000</f>
        <v>0</v>
      </c>
    </row>
    <row r="65" spans="1:14" x14ac:dyDescent="0.2">
      <c r="A65" s="248" t="s">
        <v>266</v>
      </c>
      <c r="B65" s="122" t="str">
        <f>VLOOKUP($A65,NSN!$A:$B,2,FALSE)</f>
        <v>V000174</v>
      </c>
      <c r="C65" s="123" t="str">
        <f>VLOOKUP($A65,CODIGOS!$B:$E,4,FALSE)</f>
        <v>KG</v>
      </c>
      <c r="D65" s="124">
        <f>($F65*$I$3)/1000</f>
        <v>0.11439999999999999</v>
      </c>
      <c r="E65" s="124" t="str">
        <f>IF(VLOOKUP($B65,CODIGOS!$A:$F,6,0)&lt;&gt;1000,(($F65*$I$3)/VLOOKUP($B65,CODIGOS!$A:$F,6,0)),"")</f>
        <v/>
      </c>
      <c r="F65" s="216">
        <v>1.43</v>
      </c>
      <c r="G65" s="125">
        <f>(F65/1000)*VLOOKUP($B65,CODIGOS!$A:$G,7,0)</f>
        <v>1.4299999999999998E-3</v>
      </c>
      <c r="H65" s="24">
        <f>VLOOKUP($A65,CODIGOS!$B:$D,2,FALSE)</f>
        <v>8887</v>
      </c>
      <c r="I65" s="24">
        <f>IF($H65="S/STOCK","",$J65/$I$3)</f>
        <v>12.708409999999999</v>
      </c>
      <c r="J65" s="24">
        <f>IF(H65="S/STOCK","",IF($E65="",$D65*$H65,$E65*$H65))</f>
        <v>1016.6727999999999</v>
      </c>
      <c r="K65" s="125">
        <f>VLOOKUP($B65,CODIGOS!$A:$K,8,0)*$G65*1000</f>
        <v>6.1489999999999991</v>
      </c>
      <c r="L65" s="125">
        <f>VLOOKUP($B65,CODIGOS!$A:$K,9,0)*$G65*1000</f>
        <v>0.67209999999999992</v>
      </c>
      <c r="M65" s="125">
        <f>VLOOKUP($B65,CODIGOS!$A:$K,10,0)*$G65*1000</f>
        <v>0.10009999999999999</v>
      </c>
      <c r="N65" s="221">
        <f>VLOOKUP($B65,CODIGOS!$A:$K,11,0)*$G65*1000</f>
        <v>0.51479999999999992</v>
      </c>
    </row>
    <row r="66" spans="1:14" ht="13.5" thickBot="1" x14ac:dyDescent="0.25">
      <c r="A66" s="248" t="s">
        <v>653</v>
      </c>
      <c r="B66" s="148" t="str">
        <f>VLOOKUP($A66,NSN!$A:$B,2,FALSE)</f>
        <v>C000528</v>
      </c>
      <c r="C66" s="149" t="str">
        <f>VLOOKUP($A66,CODIGOS!$B:$E,4,FALSE)</f>
        <v>KG</v>
      </c>
      <c r="D66" s="150">
        <f>($F66*$I$3)/1000</f>
        <v>0.16</v>
      </c>
      <c r="E66" s="150" t="str">
        <f>IF(VLOOKUP($B66,CODIGOS!$A:$F,6,0)&lt;&gt;1000,(($F66*$I$3)/VLOOKUP($B66,CODIGOS!$A:$F,6,0)),"")</f>
        <v/>
      </c>
      <c r="F66" s="217">
        <v>2</v>
      </c>
      <c r="G66" s="137">
        <f>(F66/1000)*VLOOKUP($B66,CODIGOS!$A:$G,7,0)</f>
        <v>2E-3</v>
      </c>
      <c r="H66" s="222">
        <f>VLOOKUP($A66,CODIGOS!$B:$D,2,FALSE)</f>
        <v>375</v>
      </c>
      <c r="I66" s="222">
        <f>IF($H66="S/STOCK","",$J66/$I$3)</f>
        <v>0.75</v>
      </c>
      <c r="J66" s="222">
        <f>IF(H66="S/STOCK","",IF($E66="",$D66*$H66,$E66*$H66))</f>
        <v>60</v>
      </c>
      <c r="K66" s="137">
        <f>VLOOKUP($B66,CODIGOS!$A:$K,8,0)*$G66*1000</f>
        <v>0</v>
      </c>
      <c r="L66" s="137">
        <f>VLOOKUP($B66,CODIGOS!$A:$K,9,0)*$G66*1000</f>
        <v>0</v>
      </c>
      <c r="M66" s="137">
        <f>VLOOKUP($B66,CODIGOS!$A:$K,10,0)*$G66*1000</f>
        <v>0</v>
      </c>
      <c r="N66" s="223">
        <f>VLOOKUP($B66,CODIGOS!$A:$K,11,0)*$G66*1000</f>
        <v>0</v>
      </c>
    </row>
    <row r="67" spans="1:14" ht="13.5" thickBot="1" x14ac:dyDescent="0.25">
      <c r="A67" s="17" t="s">
        <v>627</v>
      </c>
      <c r="B67" s="33"/>
      <c r="C67" s="18"/>
      <c r="D67" s="126"/>
      <c r="E67" s="126"/>
      <c r="F67" s="211"/>
      <c r="G67" s="19"/>
      <c r="H67" s="41"/>
      <c r="I67" s="224">
        <f t="shared" ref="I67:N67" si="21">SUM(I62:I66)</f>
        <v>155.952</v>
      </c>
      <c r="J67" s="225">
        <f t="shared" si="21"/>
        <v>12476.160000000002</v>
      </c>
      <c r="K67" s="226">
        <f t="shared" si="21"/>
        <v>585.86610000000007</v>
      </c>
      <c r="L67" s="226">
        <f t="shared" si="21"/>
        <v>12.100900000000001</v>
      </c>
      <c r="M67" s="226">
        <f t="shared" si="21"/>
        <v>10.35871</v>
      </c>
      <c r="N67" s="227">
        <f t="shared" si="21"/>
        <v>111.08269</v>
      </c>
    </row>
    <row r="68" spans="1:14" x14ac:dyDescent="0.2">
      <c r="A68" s="37" t="s">
        <v>627</v>
      </c>
      <c r="B68" s="33"/>
      <c r="C68" s="18"/>
      <c r="D68" s="19"/>
      <c r="E68" s="19"/>
      <c r="F68" s="213"/>
      <c r="G68" s="19"/>
      <c r="H68" s="41"/>
      <c r="I68" s="39"/>
      <c r="J68" s="39"/>
      <c r="K68" s="39"/>
      <c r="L68" s="17"/>
      <c r="M68" s="17"/>
      <c r="N68" s="17"/>
    </row>
    <row r="69" spans="1:14" x14ac:dyDescent="0.2">
      <c r="A69" s="37"/>
      <c r="B69" s="37"/>
      <c r="C69" s="37"/>
      <c r="D69" s="39"/>
      <c r="E69" s="39"/>
      <c r="F69" s="39"/>
      <c r="G69" s="39"/>
      <c r="H69" s="39"/>
      <c r="I69" s="39"/>
      <c r="J69" s="39"/>
      <c r="K69" s="39"/>
      <c r="L69" s="17"/>
      <c r="M69" s="17"/>
      <c r="N69" s="17"/>
    </row>
    <row r="70" spans="1:14" x14ac:dyDescent="0.2">
      <c r="A70" s="37"/>
      <c r="B70" s="37"/>
      <c r="C70" s="37"/>
      <c r="D70" s="39"/>
      <c r="E70" s="39"/>
      <c r="F70" s="39"/>
      <c r="G70" s="39"/>
      <c r="H70" s="39"/>
      <c r="I70" s="39"/>
      <c r="J70" s="39"/>
      <c r="K70" s="39"/>
      <c r="L70" s="17"/>
      <c r="M70" s="17"/>
      <c r="N70" s="17"/>
    </row>
    <row r="71" spans="1:14" x14ac:dyDescent="0.2">
      <c r="A71" s="37"/>
      <c r="B71" s="37"/>
      <c r="C71" s="37"/>
      <c r="D71" s="187"/>
      <c r="E71" s="187"/>
      <c r="F71" s="187"/>
      <c r="G71" s="39"/>
      <c r="H71" s="39"/>
      <c r="I71" s="39"/>
      <c r="J71" s="39"/>
      <c r="K71" s="39"/>
      <c r="L71" s="17"/>
      <c r="M71" s="17"/>
      <c r="N71" s="17"/>
    </row>
    <row r="72" spans="1:14" x14ac:dyDescent="0.2">
      <c r="A72" s="37"/>
      <c r="B72" s="37"/>
      <c r="C72" s="37"/>
      <c r="D72" s="187"/>
      <c r="E72" s="187"/>
      <c r="F72" s="187"/>
      <c r="G72" s="39"/>
      <c r="H72" s="39"/>
      <c r="I72" s="39"/>
      <c r="J72" s="39"/>
      <c r="K72" s="39"/>
      <c r="L72" s="17"/>
      <c r="M72" s="17"/>
      <c r="N72" s="17"/>
    </row>
    <row r="73" spans="1:14" x14ac:dyDescent="0.2">
      <c r="A73" s="37"/>
      <c r="B73" s="37"/>
      <c r="C73" s="37"/>
      <c r="D73" s="39"/>
      <c r="E73" s="39"/>
      <c r="F73" s="39"/>
      <c r="G73" s="39"/>
      <c r="H73" s="39"/>
      <c r="I73" s="39"/>
      <c r="J73" s="39"/>
      <c r="K73" s="39"/>
      <c r="L73" s="17"/>
      <c r="M73" s="17"/>
      <c r="N73" s="17"/>
    </row>
    <row r="74" spans="1:14" x14ac:dyDescent="0.2">
      <c r="A74" s="37"/>
      <c r="B74" s="37"/>
      <c r="C74" s="37"/>
      <c r="D74" s="39"/>
      <c r="E74" s="39"/>
      <c r="F74" s="39"/>
      <c r="G74" s="39"/>
      <c r="H74" s="39"/>
      <c r="I74" s="39"/>
      <c r="J74" s="39"/>
      <c r="K74" s="39"/>
      <c r="L74" s="17"/>
      <c r="M74" s="17"/>
      <c r="N74" s="17"/>
    </row>
    <row r="75" spans="1:14" x14ac:dyDescent="0.2">
      <c r="A75" s="37"/>
      <c r="B75" s="37"/>
      <c r="C75" s="37"/>
      <c r="D75" s="39"/>
      <c r="E75" s="39"/>
      <c r="F75" s="39"/>
      <c r="G75" s="39"/>
      <c r="H75" s="39"/>
      <c r="I75" s="39"/>
      <c r="J75" s="39"/>
      <c r="K75" s="39"/>
      <c r="L75" s="17"/>
      <c r="M75" s="17"/>
      <c r="N75" s="17"/>
    </row>
    <row r="76" spans="1:14" x14ac:dyDescent="0.2">
      <c r="A76" s="37"/>
      <c r="B76" s="37"/>
      <c r="C76" s="37"/>
      <c r="D76" s="39"/>
      <c r="E76" s="39"/>
      <c r="F76" s="39"/>
      <c r="G76" s="39"/>
      <c r="H76" s="39"/>
      <c r="I76" s="39"/>
      <c r="J76" s="39"/>
      <c r="K76" s="39"/>
      <c r="L76" s="17"/>
      <c r="M76" s="17"/>
      <c r="N76" s="17"/>
    </row>
    <row r="77" spans="1:14" x14ac:dyDescent="0.2">
      <c r="A77" s="37"/>
      <c r="B77" s="37"/>
      <c r="C77" s="37"/>
      <c r="D77" s="39"/>
      <c r="E77" s="39"/>
      <c r="F77" s="39"/>
      <c r="G77" s="39"/>
      <c r="H77" s="39"/>
      <c r="I77" s="39"/>
      <c r="J77" s="39"/>
      <c r="K77" s="39"/>
      <c r="L77" s="17"/>
      <c r="M77" s="17"/>
      <c r="N77" s="17"/>
    </row>
    <row r="78" spans="1:14" x14ac:dyDescent="0.2">
      <c r="A78" s="37"/>
      <c r="B78" s="37"/>
      <c r="C78" s="37"/>
      <c r="D78" s="39"/>
      <c r="E78" s="39"/>
      <c r="F78" s="39"/>
      <c r="G78" s="39"/>
      <c r="H78" s="39"/>
      <c r="I78" s="39"/>
      <c r="J78" s="39"/>
      <c r="K78" s="39"/>
      <c r="L78" s="17"/>
      <c r="M78" s="17"/>
      <c r="N78" s="17"/>
    </row>
    <row r="79" spans="1:14" x14ac:dyDescent="0.2">
      <c r="A79" s="37"/>
      <c r="B79" s="37"/>
      <c r="C79" s="37"/>
      <c r="D79" s="39"/>
      <c r="E79" s="39"/>
      <c r="F79" s="39"/>
      <c r="G79" s="39"/>
      <c r="H79" s="39"/>
      <c r="I79" s="39"/>
      <c r="J79" s="39"/>
      <c r="K79" s="39"/>
      <c r="L79" s="17"/>
      <c r="M79" s="17"/>
      <c r="N79" s="17"/>
    </row>
    <row r="80" spans="1:14" x14ac:dyDescent="0.2">
      <c r="A80" s="37"/>
      <c r="B80" s="37"/>
      <c r="C80" s="37"/>
      <c r="D80" s="39"/>
      <c r="E80" s="39"/>
      <c r="F80" s="39"/>
      <c r="G80" s="39"/>
      <c r="H80" s="39"/>
      <c r="I80" s="39"/>
      <c r="J80" s="39"/>
      <c r="K80" s="39"/>
      <c r="L80" s="17"/>
      <c r="M80" s="17"/>
      <c r="N80" s="17"/>
    </row>
    <row r="81" spans="1:14" x14ac:dyDescent="0.2">
      <c r="A81" s="37"/>
      <c r="B81" s="37"/>
      <c r="C81" s="37"/>
      <c r="D81" s="39"/>
      <c r="E81" s="39"/>
      <c r="F81" s="39"/>
      <c r="G81" s="39"/>
      <c r="H81" s="39"/>
      <c r="I81" s="39"/>
      <c r="J81" s="39"/>
      <c r="K81" s="39"/>
      <c r="L81" s="17"/>
      <c r="M81" s="17"/>
      <c r="N81" s="17"/>
    </row>
    <row r="82" spans="1:14" x14ac:dyDescent="0.2">
      <c r="A82" s="37"/>
      <c r="B82" s="37"/>
      <c r="C82" s="37"/>
      <c r="D82" s="39"/>
      <c r="E82" s="39"/>
      <c r="F82" s="39"/>
      <c r="G82" s="39"/>
      <c r="H82" s="39"/>
      <c r="I82" s="39"/>
      <c r="J82" s="39"/>
      <c r="K82" s="39"/>
      <c r="L82" s="17"/>
      <c r="M82" s="17"/>
      <c r="N82" s="17"/>
    </row>
    <row r="83" spans="1:14" x14ac:dyDescent="0.2">
      <c r="A83" s="37"/>
      <c r="B83" s="37"/>
      <c r="C83" s="37"/>
      <c r="D83" s="39"/>
      <c r="E83" s="39"/>
      <c r="F83" s="39"/>
      <c r="G83" s="39"/>
      <c r="H83" s="39"/>
      <c r="I83" s="39"/>
      <c r="J83" s="39"/>
      <c r="K83" s="39"/>
      <c r="L83" s="17"/>
      <c r="M83" s="17"/>
      <c r="N83" s="17"/>
    </row>
    <row r="84" spans="1:14" x14ac:dyDescent="0.2">
      <c r="A84" s="37"/>
      <c r="B84" s="37"/>
      <c r="C84" s="37"/>
      <c r="D84" s="39"/>
      <c r="E84" s="39"/>
      <c r="F84" s="39"/>
      <c r="G84" s="39"/>
      <c r="H84" s="39"/>
      <c r="I84" s="39"/>
      <c r="J84" s="39"/>
      <c r="K84" s="39"/>
      <c r="L84" s="17"/>
      <c r="M84" s="17"/>
      <c r="N84" s="17"/>
    </row>
    <row r="85" spans="1:14" x14ac:dyDescent="0.2">
      <c r="A85" s="37"/>
      <c r="B85" s="37"/>
      <c r="C85" s="37"/>
      <c r="D85" s="39"/>
      <c r="E85" s="39"/>
      <c r="F85" s="39"/>
      <c r="G85" s="39"/>
      <c r="H85" s="39"/>
      <c r="I85" s="39"/>
      <c r="J85" s="39"/>
      <c r="K85" s="39"/>
      <c r="L85" s="17"/>
      <c r="M85" s="17"/>
      <c r="N85" s="17"/>
    </row>
    <row r="86" spans="1:14" x14ac:dyDescent="0.2">
      <c r="A86" s="37"/>
      <c r="B86" s="37"/>
      <c r="C86" s="37"/>
      <c r="D86" s="39"/>
      <c r="E86" s="39"/>
      <c r="F86" s="39"/>
      <c r="G86" s="39"/>
      <c r="H86" s="39"/>
      <c r="I86" s="39"/>
      <c r="J86" s="39"/>
      <c r="K86" s="39"/>
      <c r="L86" s="17"/>
      <c r="M86" s="17"/>
      <c r="N86" s="17"/>
    </row>
    <row r="87" spans="1:14" x14ac:dyDescent="0.2">
      <c r="A87" s="37"/>
      <c r="B87" s="37"/>
      <c r="C87" s="37"/>
      <c r="D87" s="39"/>
      <c r="E87" s="39"/>
      <c r="F87" s="39"/>
      <c r="G87" s="39"/>
      <c r="H87" s="39"/>
      <c r="I87" s="39"/>
      <c r="J87" s="39"/>
      <c r="K87" s="39"/>
      <c r="L87" s="17"/>
      <c r="M87" s="17"/>
      <c r="N87" s="17"/>
    </row>
    <row r="88" spans="1:14" x14ac:dyDescent="0.2">
      <c r="A88" s="37"/>
      <c r="B88" s="37"/>
      <c r="C88" s="37"/>
      <c r="D88" s="39"/>
      <c r="E88" s="39"/>
      <c r="F88" s="39"/>
      <c r="G88" s="39"/>
      <c r="H88" s="39"/>
      <c r="I88" s="39"/>
      <c r="J88" s="39"/>
      <c r="K88" s="39"/>
      <c r="L88" s="17"/>
      <c r="M88" s="17"/>
      <c r="N88" s="17"/>
    </row>
  </sheetData>
  <mergeCells count="4">
    <mergeCell ref="Q10:T10"/>
    <mergeCell ref="G2:H2"/>
    <mergeCell ref="G3:H3"/>
    <mergeCell ref="A1:N1"/>
  </mergeCells>
  <phoneticPr fontId="3" type="noConversion"/>
  <conditionalFormatting sqref="A12:A17 A42:A56 A20:A39">
    <cfRule type="expression" dxfId="355" priority="1528" stopIfTrue="1">
      <formula>$H12="S/STOCK"</formula>
    </cfRule>
  </conditionalFormatting>
  <conditionalFormatting sqref="A62:A66">
    <cfRule type="expression" dxfId="354" priority="1525" stopIfTrue="1">
      <formula>$H62="S/STOCK"</formula>
    </cfRule>
  </conditionalFormatting>
  <conditionalFormatting sqref="A39">
    <cfRule type="expression" dxfId="353" priority="1503" stopIfTrue="1">
      <formula>$H39="S/STOCK"</formula>
    </cfRule>
  </conditionalFormatting>
  <conditionalFormatting sqref="A25">
    <cfRule type="expression" dxfId="352" priority="866" stopIfTrue="1">
      <formula>$H25="S/STOCK"</formula>
    </cfRule>
  </conditionalFormatting>
  <conditionalFormatting sqref="A25">
    <cfRule type="expression" dxfId="351" priority="865" stopIfTrue="1">
      <formula>$H25="S/STOCK"</formula>
    </cfRule>
  </conditionalFormatting>
  <conditionalFormatting sqref="A25">
    <cfRule type="expression" dxfId="350" priority="864" stopIfTrue="1">
      <formula>$H25="S/STOCK"</formula>
    </cfRule>
  </conditionalFormatting>
  <conditionalFormatting sqref="A25">
    <cfRule type="expression" dxfId="349" priority="863" stopIfTrue="1">
      <formula>$H25="S/STOCK"</formula>
    </cfRule>
  </conditionalFormatting>
  <conditionalFormatting sqref="A25">
    <cfRule type="expression" dxfId="348" priority="862" stopIfTrue="1">
      <formula>$H25="S/STOCK"</formula>
    </cfRule>
  </conditionalFormatting>
  <conditionalFormatting sqref="A25">
    <cfRule type="expression" dxfId="347" priority="861" stopIfTrue="1">
      <formula>$H25="S/STOCK"</formula>
    </cfRule>
  </conditionalFormatting>
  <conditionalFormatting sqref="A25">
    <cfRule type="expression" dxfId="346" priority="860" stopIfTrue="1">
      <formula>$H25="S/STOCK"</formula>
    </cfRule>
  </conditionalFormatting>
  <conditionalFormatting sqref="A25">
    <cfRule type="expression" dxfId="345" priority="859" stopIfTrue="1">
      <formula>$H25="S/STOCK"</formula>
    </cfRule>
  </conditionalFormatting>
  <conditionalFormatting sqref="A25">
    <cfRule type="expression" dxfId="344" priority="858" stopIfTrue="1">
      <formula>$H25="S/STOCK"</formula>
    </cfRule>
  </conditionalFormatting>
  <conditionalFormatting sqref="A25">
    <cfRule type="expression" dxfId="343" priority="857" stopIfTrue="1">
      <formula>$H25="S/STOCK"</formula>
    </cfRule>
  </conditionalFormatting>
  <conditionalFormatting sqref="A25">
    <cfRule type="expression" dxfId="342" priority="856" stopIfTrue="1">
      <formula>$H25="S/STOCK"</formula>
    </cfRule>
  </conditionalFormatting>
  <conditionalFormatting sqref="A25">
    <cfRule type="expression" dxfId="341" priority="855" stopIfTrue="1">
      <formula>$H25="S/STOCK"</formula>
    </cfRule>
  </conditionalFormatting>
  <conditionalFormatting sqref="A25">
    <cfRule type="expression" dxfId="340" priority="854" stopIfTrue="1">
      <formula>$H25="S/STOCK"</formula>
    </cfRule>
  </conditionalFormatting>
  <conditionalFormatting sqref="A25">
    <cfRule type="expression" dxfId="339" priority="853" stopIfTrue="1">
      <formula>$H25="S/STOCK"</formula>
    </cfRule>
  </conditionalFormatting>
  <conditionalFormatting sqref="A25">
    <cfRule type="expression" dxfId="338" priority="852" stopIfTrue="1">
      <formula>$H25="S/STOCK"</formula>
    </cfRule>
  </conditionalFormatting>
  <conditionalFormatting sqref="A25">
    <cfRule type="expression" dxfId="337" priority="851" stopIfTrue="1">
      <formula>$H25="S/STOCK"</formula>
    </cfRule>
  </conditionalFormatting>
  <conditionalFormatting sqref="A48">
    <cfRule type="expression" dxfId="336" priority="511" stopIfTrue="1">
      <formula>$H48="S/STOCK"</formula>
    </cfRule>
  </conditionalFormatting>
  <conditionalFormatting sqref="A49">
    <cfRule type="expression" dxfId="335" priority="510" stopIfTrue="1">
      <formula>$H49="S/STOCK"</formula>
    </cfRule>
  </conditionalFormatting>
  <conditionalFormatting sqref="A49">
    <cfRule type="expression" dxfId="334" priority="509" stopIfTrue="1">
      <formula>$H49="S/STOCK"</formula>
    </cfRule>
  </conditionalFormatting>
  <conditionalFormatting sqref="A49">
    <cfRule type="expression" dxfId="333" priority="508" stopIfTrue="1">
      <formula>$H49="S/STOCK"</formula>
    </cfRule>
  </conditionalFormatting>
  <conditionalFormatting sqref="A49">
    <cfRule type="expression" dxfId="332" priority="507" stopIfTrue="1">
      <formula>$H49="S/STOCK"</formula>
    </cfRule>
  </conditionalFormatting>
  <conditionalFormatting sqref="A35">
    <cfRule type="expression" dxfId="331" priority="363" stopIfTrue="1">
      <formula>$H35="S/STOCK"</formula>
    </cfRule>
  </conditionalFormatting>
  <conditionalFormatting sqref="A37">
    <cfRule type="expression" dxfId="330" priority="362" stopIfTrue="1">
      <formula>$H37="S/STOCK"</formula>
    </cfRule>
  </conditionalFormatting>
  <conditionalFormatting sqref="A37">
    <cfRule type="expression" dxfId="329" priority="361" stopIfTrue="1">
      <formula>$H37="S/STOCK"</formula>
    </cfRule>
  </conditionalFormatting>
  <conditionalFormatting sqref="A37">
    <cfRule type="expression" dxfId="328" priority="360" stopIfTrue="1">
      <formula>$H37="S/STOCK"</formula>
    </cfRule>
  </conditionalFormatting>
  <conditionalFormatting sqref="A37">
    <cfRule type="expression" dxfId="327" priority="359" stopIfTrue="1">
      <formula>$H37="S/STOCK"</formula>
    </cfRule>
  </conditionalFormatting>
  <conditionalFormatting sqref="A37">
    <cfRule type="expression" dxfId="326" priority="358" stopIfTrue="1">
      <formula>$H37="S/STOCK"</formula>
    </cfRule>
  </conditionalFormatting>
  <conditionalFormatting sqref="A37">
    <cfRule type="expression" dxfId="325" priority="357" stopIfTrue="1">
      <formula>$H37="S/STOCK"</formula>
    </cfRule>
  </conditionalFormatting>
  <conditionalFormatting sqref="A37">
    <cfRule type="expression" dxfId="324" priority="356" stopIfTrue="1">
      <formula>$H37="S/STOCK"</formula>
    </cfRule>
  </conditionalFormatting>
  <conditionalFormatting sqref="A37">
    <cfRule type="expression" dxfId="323" priority="355" stopIfTrue="1">
      <formula>$H37="S/STOCK"</formula>
    </cfRule>
  </conditionalFormatting>
  <conditionalFormatting sqref="A37">
    <cfRule type="expression" dxfId="322" priority="354" stopIfTrue="1">
      <formula>$H37="S/STOCK"</formula>
    </cfRule>
  </conditionalFormatting>
  <conditionalFormatting sqref="A37">
    <cfRule type="expression" dxfId="321" priority="353" stopIfTrue="1">
      <formula>$H37="S/STOCK"</formula>
    </cfRule>
  </conditionalFormatting>
  <conditionalFormatting sqref="A37">
    <cfRule type="expression" dxfId="320" priority="352" stopIfTrue="1">
      <formula>$H37="S/STOCK"</formula>
    </cfRule>
  </conditionalFormatting>
  <conditionalFormatting sqref="A37">
    <cfRule type="expression" dxfId="319" priority="351" stopIfTrue="1">
      <formula>$H37="S/STOCK"</formula>
    </cfRule>
  </conditionalFormatting>
  <conditionalFormatting sqref="A37">
    <cfRule type="expression" dxfId="318" priority="350" stopIfTrue="1">
      <formula>$H37="S/STOCK"</formula>
    </cfRule>
  </conditionalFormatting>
  <conditionalFormatting sqref="A37">
    <cfRule type="expression" dxfId="317" priority="349" stopIfTrue="1">
      <formula>$H37="S/STOCK"</formula>
    </cfRule>
  </conditionalFormatting>
  <conditionalFormatting sqref="A37">
    <cfRule type="expression" dxfId="316" priority="348" stopIfTrue="1">
      <formula>$H37="S/STOCK"</formula>
    </cfRule>
  </conditionalFormatting>
  <conditionalFormatting sqref="A37">
    <cfRule type="expression" dxfId="315" priority="347" stopIfTrue="1">
      <formula>$H37="S/STOCK"</formula>
    </cfRule>
  </conditionalFormatting>
  <conditionalFormatting sqref="A38">
    <cfRule type="expression" dxfId="314" priority="341" stopIfTrue="1">
      <formula>$H38="S/STOCK"</formula>
    </cfRule>
  </conditionalFormatting>
  <conditionalFormatting sqref="A38">
    <cfRule type="expression" dxfId="313" priority="340" stopIfTrue="1">
      <formula>$H38="S/STOCK"</formula>
    </cfRule>
  </conditionalFormatting>
  <conditionalFormatting sqref="A38">
    <cfRule type="expression" dxfId="312" priority="339" stopIfTrue="1">
      <formula>$H38="S/STOCK"</formula>
    </cfRule>
  </conditionalFormatting>
  <conditionalFormatting sqref="A38">
    <cfRule type="expression" dxfId="311" priority="338" stopIfTrue="1">
      <formula>$H38="S/STOCK"</formula>
    </cfRule>
  </conditionalFormatting>
  <conditionalFormatting sqref="A54">
    <cfRule type="expression" dxfId="310" priority="290" stopIfTrue="1">
      <formula>$H54="S/STOCK"</formula>
    </cfRule>
  </conditionalFormatting>
  <conditionalFormatting sqref="A54">
    <cfRule type="expression" dxfId="309" priority="289" stopIfTrue="1">
      <formula>$H54="S/STOCK"</formula>
    </cfRule>
  </conditionalFormatting>
  <conditionalFormatting sqref="A54">
    <cfRule type="expression" dxfId="308" priority="288" stopIfTrue="1">
      <formula>$H54="S/STOCK"</formula>
    </cfRule>
  </conditionalFormatting>
  <conditionalFormatting sqref="A54">
    <cfRule type="expression" dxfId="307" priority="287" stopIfTrue="1">
      <formula>$H54="S/STOCK"</formula>
    </cfRule>
  </conditionalFormatting>
  <conditionalFormatting sqref="A39">
    <cfRule type="expression" dxfId="306" priority="217" stopIfTrue="1">
      <formula>$H39="S/STOCK"</formula>
    </cfRule>
  </conditionalFormatting>
  <conditionalFormatting sqref="A39">
    <cfRule type="expression" dxfId="305" priority="216" stopIfTrue="1">
      <formula>$H39="S/STOCK"</formula>
    </cfRule>
  </conditionalFormatting>
  <conditionalFormatting sqref="A44">
    <cfRule type="expression" dxfId="304" priority="215" stopIfTrue="1">
      <formula>$H44="S/STOCK"</formula>
    </cfRule>
  </conditionalFormatting>
  <conditionalFormatting sqref="A44">
    <cfRule type="expression" dxfId="303" priority="214" stopIfTrue="1">
      <formula>$H44="S/STOCK"</formula>
    </cfRule>
  </conditionalFormatting>
  <conditionalFormatting sqref="A44">
    <cfRule type="expression" dxfId="302" priority="213" stopIfTrue="1">
      <formula>$H44="S/STOCK"</formula>
    </cfRule>
  </conditionalFormatting>
  <conditionalFormatting sqref="A44">
    <cfRule type="expression" dxfId="301" priority="212" stopIfTrue="1">
      <formula>$H44="S/STOCK"</formula>
    </cfRule>
  </conditionalFormatting>
  <conditionalFormatting sqref="A44">
    <cfRule type="expression" dxfId="300" priority="211" stopIfTrue="1">
      <formula>$H44="S/STOCK"</formula>
    </cfRule>
  </conditionalFormatting>
  <conditionalFormatting sqref="A44">
    <cfRule type="expression" dxfId="299" priority="210" stopIfTrue="1">
      <formula>$H44="S/STOCK"</formula>
    </cfRule>
  </conditionalFormatting>
  <conditionalFormatting sqref="A44">
    <cfRule type="expression" dxfId="298" priority="209" stopIfTrue="1">
      <formula>$H44="S/STOCK"</formula>
    </cfRule>
  </conditionalFormatting>
  <conditionalFormatting sqref="A44">
    <cfRule type="expression" dxfId="297" priority="208" stopIfTrue="1">
      <formula>$H44="S/STOCK"</formula>
    </cfRule>
  </conditionalFormatting>
  <conditionalFormatting sqref="A44">
    <cfRule type="expression" dxfId="296" priority="207" stopIfTrue="1">
      <formula>$H44="S/STOCK"</formula>
    </cfRule>
  </conditionalFormatting>
  <conditionalFormatting sqref="A44">
    <cfRule type="expression" dxfId="295" priority="206" stopIfTrue="1">
      <formula>$H44="S/STOCK"</formula>
    </cfRule>
  </conditionalFormatting>
  <conditionalFormatting sqref="A44">
    <cfRule type="expression" dxfId="294" priority="205" stopIfTrue="1">
      <formula>$H44="S/STOCK"</formula>
    </cfRule>
  </conditionalFormatting>
  <conditionalFormatting sqref="A44">
    <cfRule type="expression" dxfId="293" priority="204" stopIfTrue="1">
      <formula>$H44="S/STOCK"</formula>
    </cfRule>
  </conditionalFormatting>
  <conditionalFormatting sqref="A44">
    <cfRule type="expression" dxfId="292" priority="203" stopIfTrue="1">
      <formula>$H44="S/STOCK"</formula>
    </cfRule>
  </conditionalFormatting>
  <conditionalFormatting sqref="A44">
    <cfRule type="expression" dxfId="291" priority="202" stopIfTrue="1">
      <formula>$H44="S/STOCK"</formula>
    </cfRule>
  </conditionalFormatting>
  <conditionalFormatting sqref="A44">
    <cfRule type="expression" dxfId="290" priority="201" stopIfTrue="1">
      <formula>$H44="S/STOCK"</formula>
    </cfRule>
  </conditionalFormatting>
  <conditionalFormatting sqref="A44">
    <cfRule type="expression" dxfId="289" priority="200" stopIfTrue="1">
      <formula>$H44="S/STOCK"</formula>
    </cfRule>
  </conditionalFormatting>
  <conditionalFormatting sqref="A44">
    <cfRule type="expression" dxfId="288" priority="199" stopIfTrue="1">
      <formula>$H44="S/STOCK"</formula>
    </cfRule>
  </conditionalFormatting>
  <conditionalFormatting sqref="A44">
    <cfRule type="expression" dxfId="287" priority="198" stopIfTrue="1">
      <formula>$H44="S/STOCK"</formula>
    </cfRule>
  </conditionalFormatting>
  <conditionalFormatting sqref="A44">
    <cfRule type="expression" dxfId="286" priority="197" stopIfTrue="1">
      <formula>$H44="S/STOCK"</formula>
    </cfRule>
  </conditionalFormatting>
  <conditionalFormatting sqref="A44">
    <cfRule type="expression" dxfId="285" priority="196" stopIfTrue="1">
      <formula>$H44="S/STOCK"</formula>
    </cfRule>
  </conditionalFormatting>
  <conditionalFormatting sqref="A44">
    <cfRule type="expression" dxfId="284" priority="195" stopIfTrue="1">
      <formula>$H44="S/STOCK"</formula>
    </cfRule>
  </conditionalFormatting>
  <conditionalFormatting sqref="A44">
    <cfRule type="expression" dxfId="283" priority="194" stopIfTrue="1">
      <formula>$H44="S/STOCK"</formula>
    </cfRule>
  </conditionalFormatting>
  <conditionalFormatting sqref="A44">
    <cfRule type="expression" dxfId="282" priority="193" stopIfTrue="1">
      <formula>$H44="S/STOCK"</formula>
    </cfRule>
  </conditionalFormatting>
  <conditionalFormatting sqref="A44">
    <cfRule type="expression" dxfId="281" priority="192" stopIfTrue="1">
      <formula>$H44="S/STOCK"</formula>
    </cfRule>
  </conditionalFormatting>
  <conditionalFormatting sqref="A44">
    <cfRule type="expression" dxfId="280" priority="191" stopIfTrue="1">
      <formula>$H44="S/STOCK"</formula>
    </cfRule>
  </conditionalFormatting>
  <conditionalFormatting sqref="A44">
    <cfRule type="expression" dxfId="279" priority="190" stopIfTrue="1">
      <formula>$H44="S/STOCK"</formula>
    </cfRule>
  </conditionalFormatting>
  <conditionalFormatting sqref="A44">
    <cfRule type="expression" dxfId="278" priority="189" stopIfTrue="1">
      <formula>$H44="S/STOCK"</formula>
    </cfRule>
  </conditionalFormatting>
  <conditionalFormatting sqref="A44">
    <cfRule type="expression" dxfId="277" priority="188" stopIfTrue="1">
      <formula>$H44="S/STOCK"</formula>
    </cfRule>
  </conditionalFormatting>
  <conditionalFormatting sqref="A44">
    <cfRule type="expression" dxfId="276" priority="187" stopIfTrue="1">
      <formula>$H44="S/STOCK"</formula>
    </cfRule>
  </conditionalFormatting>
  <conditionalFormatting sqref="A44">
    <cfRule type="expression" dxfId="275" priority="186" stopIfTrue="1">
      <formula>$H44="S/STOCK"</formula>
    </cfRule>
  </conditionalFormatting>
  <conditionalFormatting sqref="A44">
    <cfRule type="expression" dxfId="274" priority="185" stopIfTrue="1">
      <formula>$H44="S/STOCK"</formula>
    </cfRule>
  </conditionalFormatting>
  <conditionalFormatting sqref="A44">
    <cfRule type="expression" dxfId="273" priority="184" stopIfTrue="1">
      <formula>$H44="S/STOCK"</formula>
    </cfRule>
  </conditionalFormatting>
  <conditionalFormatting sqref="A44">
    <cfRule type="expression" dxfId="272" priority="183" stopIfTrue="1">
      <formula>$H44="S/STOCK"</formula>
    </cfRule>
  </conditionalFormatting>
  <conditionalFormatting sqref="A44">
    <cfRule type="expression" dxfId="271" priority="182" stopIfTrue="1">
      <formula>$H44="S/STOCK"</formula>
    </cfRule>
  </conditionalFormatting>
  <conditionalFormatting sqref="A44">
    <cfRule type="expression" dxfId="270" priority="181" stopIfTrue="1">
      <formula>$H44="S/STOCK"</formula>
    </cfRule>
  </conditionalFormatting>
  <conditionalFormatting sqref="A44">
    <cfRule type="expression" dxfId="269" priority="180" stopIfTrue="1">
      <formula>$H44="S/STOCK"</formula>
    </cfRule>
  </conditionalFormatting>
  <conditionalFormatting sqref="A44">
    <cfRule type="expression" dxfId="268" priority="179" stopIfTrue="1">
      <formula>$H44="S/STOCK"</formula>
    </cfRule>
  </conditionalFormatting>
  <conditionalFormatting sqref="A44">
    <cfRule type="expression" dxfId="267" priority="178" stopIfTrue="1">
      <formula>$H44="S/STOCK"</formula>
    </cfRule>
  </conditionalFormatting>
  <conditionalFormatting sqref="A44">
    <cfRule type="expression" dxfId="266" priority="177" stopIfTrue="1">
      <formula>$H44="S/STOCK"</formula>
    </cfRule>
  </conditionalFormatting>
  <conditionalFormatting sqref="A44">
    <cfRule type="expression" dxfId="265" priority="176" stopIfTrue="1">
      <formula>$H44="S/STOCK"</formula>
    </cfRule>
  </conditionalFormatting>
  <conditionalFormatting sqref="A44">
    <cfRule type="expression" dxfId="264" priority="175" stopIfTrue="1">
      <formula>$H44="S/STOCK"</formula>
    </cfRule>
  </conditionalFormatting>
  <conditionalFormatting sqref="A44">
    <cfRule type="expression" dxfId="263" priority="174" stopIfTrue="1">
      <formula>$H44="S/STOCK"</formula>
    </cfRule>
  </conditionalFormatting>
  <conditionalFormatting sqref="A44">
    <cfRule type="expression" dxfId="262" priority="173" stopIfTrue="1">
      <formula>$H44="S/STOCK"</formula>
    </cfRule>
  </conditionalFormatting>
  <conditionalFormatting sqref="A44">
    <cfRule type="expression" dxfId="261" priority="172" stopIfTrue="1">
      <formula>$H44="S/STOCK"</formula>
    </cfRule>
  </conditionalFormatting>
  <conditionalFormatting sqref="A44">
    <cfRule type="expression" dxfId="260" priority="171" stopIfTrue="1">
      <formula>$H44="S/STOCK"</formula>
    </cfRule>
  </conditionalFormatting>
  <conditionalFormatting sqref="A44">
    <cfRule type="expression" dxfId="259" priority="170" stopIfTrue="1">
      <formula>$H44="S/STOCK"</formula>
    </cfRule>
  </conditionalFormatting>
  <conditionalFormatting sqref="A44">
    <cfRule type="expression" dxfId="258" priority="169" stopIfTrue="1">
      <formula>$H44="S/STOCK"</formula>
    </cfRule>
  </conditionalFormatting>
  <conditionalFormatting sqref="A44">
    <cfRule type="expression" dxfId="257" priority="168" stopIfTrue="1">
      <formula>$H44="S/STOCK"</formula>
    </cfRule>
  </conditionalFormatting>
  <conditionalFormatting sqref="A44">
    <cfRule type="expression" dxfId="256" priority="167" stopIfTrue="1">
      <formula>$H44="S/STOCK"</formula>
    </cfRule>
  </conditionalFormatting>
  <conditionalFormatting sqref="A44">
    <cfRule type="expression" dxfId="255" priority="166" stopIfTrue="1">
      <formula>$H44="S/STOCK"</formula>
    </cfRule>
  </conditionalFormatting>
  <conditionalFormatting sqref="A44">
    <cfRule type="expression" dxfId="254" priority="165" stopIfTrue="1">
      <formula>$H44="S/STOCK"</formula>
    </cfRule>
  </conditionalFormatting>
  <conditionalFormatting sqref="A44">
    <cfRule type="expression" dxfId="253" priority="164" stopIfTrue="1">
      <formula>$H44="S/STOCK"</formula>
    </cfRule>
  </conditionalFormatting>
  <conditionalFormatting sqref="A44">
    <cfRule type="expression" dxfId="252" priority="163" stopIfTrue="1">
      <formula>$H44="S/STOCK"</formula>
    </cfRule>
  </conditionalFormatting>
  <conditionalFormatting sqref="A44">
    <cfRule type="expression" dxfId="251" priority="162" stopIfTrue="1">
      <formula>$H44="S/STOCK"</formula>
    </cfRule>
  </conditionalFormatting>
  <conditionalFormatting sqref="A44">
    <cfRule type="expression" dxfId="250" priority="161" stopIfTrue="1">
      <formula>$H44="S/STOCK"</formula>
    </cfRule>
  </conditionalFormatting>
  <conditionalFormatting sqref="A44">
    <cfRule type="expression" dxfId="249" priority="160" stopIfTrue="1">
      <formula>$H44="S/STOCK"</formula>
    </cfRule>
  </conditionalFormatting>
  <conditionalFormatting sqref="A44">
    <cfRule type="expression" dxfId="248" priority="159" stopIfTrue="1">
      <formula>$H44="S/STOCK"</formula>
    </cfRule>
  </conditionalFormatting>
  <conditionalFormatting sqref="A44">
    <cfRule type="expression" dxfId="247" priority="158" stopIfTrue="1">
      <formula>$H44="S/STOCK"</formula>
    </cfRule>
  </conditionalFormatting>
  <conditionalFormatting sqref="A44">
    <cfRule type="expression" dxfId="246" priority="157" stopIfTrue="1">
      <formula>$H44="S/STOCK"</formula>
    </cfRule>
  </conditionalFormatting>
  <conditionalFormatting sqref="A44">
    <cfRule type="expression" dxfId="245" priority="156" stopIfTrue="1">
      <formula>$H44="S/STOCK"</formula>
    </cfRule>
  </conditionalFormatting>
  <conditionalFormatting sqref="A44">
    <cfRule type="expression" dxfId="244" priority="155" stopIfTrue="1">
      <formula>$H44="S/STOCK"</formula>
    </cfRule>
  </conditionalFormatting>
  <conditionalFormatting sqref="A44">
    <cfRule type="expression" dxfId="243" priority="154" stopIfTrue="1">
      <formula>$H44="S/STOCK"</formula>
    </cfRule>
  </conditionalFormatting>
  <conditionalFormatting sqref="A44">
    <cfRule type="expression" dxfId="242" priority="153" stopIfTrue="1">
      <formula>$H44="S/STOCK"</formula>
    </cfRule>
  </conditionalFormatting>
  <conditionalFormatting sqref="A44">
    <cfRule type="expression" dxfId="241" priority="152" stopIfTrue="1">
      <formula>$H44="S/STOCK"</formula>
    </cfRule>
  </conditionalFormatting>
  <conditionalFormatting sqref="A44">
    <cfRule type="expression" dxfId="240" priority="151" stopIfTrue="1">
      <formula>$H44="S/STOCK"</formula>
    </cfRule>
  </conditionalFormatting>
  <conditionalFormatting sqref="A44">
    <cfRule type="expression" dxfId="239" priority="150" stopIfTrue="1">
      <formula>$H44="S/STOCK"</formula>
    </cfRule>
  </conditionalFormatting>
  <conditionalFormatting sqref="A44">
    <cfRule type="expression" dxfId="238" priority="149" stopIfTrue="1">
      <formula>$H44="S/STOCK"</formula>
    </cfRule>
  </conditionalFormatting>
  <conditionalFormatting sqref="A44">
    <cfRule type="expression" dxfId="237" priority="148" stopIfTrue="1">
      <formula>$H44="S/STOCK"</formula>
    </cfRule>
  </conditionalFormatting>
  <conditionalFormatting sqref="A44">
    <cfRule type="expression" dxfId="236" priority="147" stopIfTrue="1">
      <formula>$H44="S/STOCK"</formula>
    </cfRule>
  </conditionalFormatting>
  <conditionalFormatting sqref="A45">
    <cfRule type="expression" dxfId="235" priority="146" stopIfTrue="1">
      <formula>$H45="S/STOCK"</formula>
    </cfRule>
  </conditionalFormatting>
  <conditionalFormatting sqref="A47">
    <cfRule type="expression" dxfId="234" priority="145" stopIfTrue="1">
      <formula>$H47="S/STOCK"</formula>
    </cfRule>
  </conditionalFormatting>
  <conditionalFormatting sqref="A47">
    <cfRule type="expression" dxfId="233" priority="144" stopIfTrue="1">
      <formula>$H47="S/STOCK"</formula>
    </cfRule>
  </conditionalFormatting>
  <conditionalFormatting sqref="A47">
    <cfRule type="expression" dxfId="232" priority="143" stopIfTrue="1">
      <formula>$H47="S/STOCK"</formula>
    </cfRule>
  </conditionalFormatting>
  <conditionalFormatting sqref="A47">
    <cfRule type="expression" dxfId="231" priority="142" stopIfTrue="1">
      <formula>$H47="S/STOCK"</formula>
    </cfRule>
  </conditionalFormatting>
  <conditionalFormatting sqref="A46">
    <cfRule type="expression" dxfId="230" priority="141" stopIfTrue="1">
      <formula>$H46="S/STOCK"</formula>
    </cfRule>
  </conditionalFormatting>
  <conditionalFormatting sqref="A46">
    <cfRule type="expression" dxfId="229" priority="140" stopIfTrue="1">
      <formula>$H46="S/STOCK"</formula>
    </cfRule>
  </conditionalFormatting>
  <conditionalFormatting sqref="A46">
    <cfRule type="expression" dxfId="228" priority="139" stopIfTrue="1">
      <formula>$H46="S/STOCK"</formula>
    </cfRule>
  </conditionalFormatting>
  <conditionalFormatting sqref="A46">
    <cfRule type="expression" dxfId="227" priority="138" stopIfTrue="1">
      <formula>$H46="S/STOCK"</formula>
    </cfRule>
  </conditionalFormatting>
  <conditionalFormatting sqref="A46">
    <cfRule type="expression" dxfId="226" priority="137" stopIfTrue="1">
      <formula>$H46="S/STOCK"</formula>
    </cfRule>
  </conditionalFormatting>
  <conditionalFormatting sqref="A46">
    <cfRule type="expression" dxfId="225" priority="136" stopIfTrue="1">
      <formula>$H46="S/STOCK"</formula>
    </cfRule>
  </conditionalFormatting>
  <conditionalFormatting sqref="A46">
    <cfRule type="expression" dxfId="224" priority="135" stopIfTrue="1">
      <formula>$H46="S/STOCK"</formula>
    </cfRule>
  </conditionalFormatting>
  <conditionalFormatting sqref="A46">
    <cfRule type="expression" dxfId="223" priority="134" stopIfTrue="1">
      <formula>$H46="S/STOCK"</formula>
    </cfRule>
  </conditionalFormatting>
  <conditionalFormatting sqref="A46">
    <cfRule type="expression" dxfId="222" priority="133" stopIfTrue="1">
      <formula>$H46="S/STOCK"</formula>
    </cfRule>
  </conditionalFormatting>
  <conditionalFormatting sqref="A46">
    <cfRule type="expression" dxfId="221" priority="132" stopIfTrue="1">
      <formula>$H46="S/STOCK"</formula>
    </cfRule>
  </conditionalFormatting>
  <conditionalFormatting sqref="A46">
    <cfRule type="expression" dxfId="220" priority="131" stopIfTrue="1">
      <formula>$H46="S/STOCK"</formula>
    </cfRule>
  </conditionalFormatting>
  <conditionalFormatting sqref="A46">
    <cfRule type="expression" dxfId="219" priority="130" stopIfTrue="1">
      <formula>$H46="S/STOCK"</formula>
    </cfRule>
  </conditionalFormatting>
  <conditionalFormatting sqref="A46">
    <cfRule type="expression" dxfId="218" priority="129" stopIfTrue="1">
      <formula>$H46="S/STOCK"</formula>
    </cfRule>
  </conditionalFormatting>
  <conditionalFormatting sqref="A46">
    <cfRule type="expression" dxfId="217" priority="128" stopIfTrue="1">
      <formula>$H46="S/STOCK"</formula>
    </cfRule>
  </conditionalFormatting>
  <conditionalFormatting sqref="A46">
    <cfRule type="expression" dxfId="216" priority="127" stopIfTrue="1">
      <formula>$H46="S/STOCK"</formula>
    </cfRule>
  </conditionalFormatting>
  <conditionalFormatting sqref="A46">
    <cfRule type="expression" dxfId="215" priority="126" stopIfTrue="1">
      <formula>$H46="S/STOCK"</formula>
    </cfRule>
  </conditionalFormatting>
  <conditionalFormatting sqref="A46">
    <cfRule type="expression" dxfId="214" priority="125" stopIfTrue="1">
      <formula>$H46="S/STOCK"</formula>
    </cfRule>
  </conditionalFormatting>
  <conditionalFormatting sqref="A46">
    <cfRule type="expression" dxfId="213" priority="124" stopIfTrue="1">
      <formula>$H46="S/STOCK"</formula>
    </cfRule>
  </conditionalFormatting>
  <conditionalFormatting sqref="A46">
    <cfRule type="expression" dxfId="212" priority="123" stopIfTrue="1">
      <formula>$H46="S/STOCK"</formula>
    </cfRule>
  </conditionalFormatting>
  <conditionalFormatting sqref="A46">
    <cfRule type="expression" dxfId="211" priority="122" stopIfTrue="1">
      <formula>$H46="S/STOCK"</formula>
    </cfRule>
  </conditionalFormatting>
  <conditionalFormatting sqref="A46">
    <cfRule type="expression" dxfId="210" priority="121" stopIfTrue="1">
      <formula>$H46="S/STOCK"</formula>
    </cfRule>
  </conditionalFormatting>
  <conditionalFormatting sqref="A46">
    <cfRule type="expression" dxfId="209" priority="120" stopIfTrue="1">
      <formula>$H46="S/STOCK"</formula>
    </cfRule>
  </conditionalFormatting>
  <conditionalFormatting sqref="A46">
    <cfRule type="expression" dxfId="208" priority="119" stopIfTrue="1">
      <formula>$H46="S/STOCK"</formula>
    </cfRule>
  </conditionalFormatting>
  <conditionalFormatting sqref="A46">
    <cfRule type="expression" dxfId="207" priority="118" stopIfTrue="1">
      <formula>$H46="S/STOCK"</formula>
    </cfRule>
  </conditionalFormatting>
  <conditionalFormatting sqref="A46">
    <cfRule type="expression" dxfId="206" priority="117" stopIfTrue="1">
      <formula>$H46="S/STOCK"</formula>
    </cfRule>
  </conditionalFormatting>
  <conditionalFormatting sqref="A46">
    <cfRule type="expression" dxfId="205" priority="116" stopIfTrue="1">
      <formula>$H46="S/STOCK"</formula>
    </cfRule>
  </conditionalFormatting>
  <conditionalFormatting sqref="A46">
    <cfRule type="expression" dxfId="204" priority="115" stopIfTrue="1">
      <formula>$H46="S/STOCK"</formula>
    </cfRule>
  </conditionalFormatting>
  <conditionalFormatting sqref="A46">
    <cfRule type="expression" dxfId="203" priority="114" stopIfTrue="1">
      <formula>$H46="S/STOCK"</formula>
    </cfRule>
  </conditionalFormatting>
  <conditionalFormatting sqref="A46">
    <cfRule type="expression" dxfId="202" priority="113" stopIfTrue="1">
      <formula>$H46="S/STOCK"</formula>
    </cfRule>
  </conditionalFormatting>
  <conditionalFormatting sqref="A46">
    <cfRule type="expression" dxfId="201" priority="112" stopIfTrue="1">
      <formula>$H46="S/STOCK"</formula>
    </cfRule>
  </conditionalFormatting>
  <conditionalFormatting sqref="A46">
    <cfRule type="expression" dxfId="200" priority="111" stopIfTrue="1">
      <formula>$H46="S/STOCK"</formula>
    </cfRule>
  </conditionalFormatting>
  <conditionalFormatting sqref="A46">
    <cfRule type="expression" dxfId="199" priority="110" stopIfTrue="1">
      <formula>$H46="S/STOCK"</formula>
    </cfRule>
  </conditionalFormatting>
  <conditionalFormatting sqref="A46">
    <cfRule type="expression" dxfId="198" priority="109" stopIfTrue="1">
      <formula>$H46="S/STOCK"</formula>
    </cfRule>
  </conditionalFormatting>
  <conditionalFormatting sqref="A46">
    <cfRule type="expression" dxfId="197" priority="108" stopIfTrue="1">
      <formula>$H46="S/STOCK"</formula>
    </cfRule>
  </conditionalFormatting>
  <conditionalFormatting sqref="A46">
    <cfRule type="expression" dxfId="196" priority="107" stopIfTrue="1">
      <formula>$H46="S/STOCK"</formula>
    </cfRule>
  </conditionalFormatting>
  <conditionalFormatting sqref="A46">
    <cfRule type="expression" dxfId="195" priority="106" stopIfTrue="1">
      <formula>$H46="S/STOCK"</formula>
    </cfRule>
  </conditionalFormatting>
  <conditionalFormatting sqref="A46">
    <cfRule type="expression" dxfId="194" priority="105" stopIfTrue="1">
      <formula>$H46="S/STOCK"</formula>
    </cfRule>
  </conditionalFormatting>
  <conditionalFormatting sqref="A46">
    <cfRule type="expression" dxfId="193" priority="104" stopIfTrue="1">
      <formula>$H46="S/STOCK"</formula>
    </cfRule>
  </conditionalFormatting>
  <conditionalFormatting sqref="A46">
    <cfRule type="expression" dxfId="192" priority="103" stopIfTrue="1">
      <formula>$H46="S/STOCK"</formula>
    </cfRule>
  </conditionalFormatting>
  <conditionalFormatting sqref="A46">
    <cfRule type="expression" dxfId="191" priority="102" stopIfTrue="1">
      <formula>$H46="S/STOCK"</formula>
    </cfRule>
  </conditionalFormatting>
  <conditionalFormatting sqref="A46">
    <cfRule type="expression" dxfId="190" priority="101" stopIfTrue="1">
      <formula>$H46="S/STOCK"</formula>
    </cfRule>
  </conditionalFormatting>
  <conditionalFormatting sqref="A46">
    <cfRule type="expression" dxfId="189" priority="100" stopIfTrue="1">
      <formula>$H46="S/STOCK"</formula>
    </cfRule>
  </conditionalFormatting>
  <conditionalFormatting sqref="A46">
    <cfRule type="expression" dxfId="188" priority="99" stopIfTrue="1">
      <formula>$H46="S/STOCK"</formula>
    </cfRule>
  </conditionalFormatting>
  <conditionalFormatting sqref="A46">
    <cfRule type="expression" dxfId="187" priority="98" stopIfTrue="1">
      <formula>$H46="S/STOCK"</formula>
    </cfRule>
  </conditionalFormatting>
  <conditionalFormatting sqref="A46">
    <cfRule type="expression" dxfId="186" priority="97" stopIfTrue="1">
      <formula>$H46="S/STOCK"</formula>
    </cfRule>
  </conditionalFormatting>
  <conditionalFormatting sqref="A46">
    <cfRule type="expression" dxfId="185" priority="96" stopIfTrue="1">
      <formula>$H46="S/STOCK"</formula>
    </cfRule>
  </conditionalFormatting>
  <conditionalFormatting sqref="A26">
    <cfRule type="expression" dxfId="184" priority="95" stopIfTrue="1">
      <formula>$H26="S/STOCK"</formula>
    </cfRule>
  </conditionalFormatting>
  <conditionalFormatting sqref="A26">
    <cfRule type="expression" dxfId="183" priority="94" stopIfTrue="1">
      <formula>$H26="S/STOCK"</formula>
    </cfRule>
  </conditionalFormatting>
  <conditionalFormatting sqref="A26">
    <cfRule type="expression" dxfId="182" priority="93" stopIfTrue="1">
      <formula>$H26="S/STOCK"</formula>
    </cfRule>
  </conditionalFormatting>
  <conditionalFormatting sqref="A26">
    <cfRule type="expression" dxfId="181" priority="92" stopIfTrue="1">
      <formula>$H26="S/STOCK"</formula>
    </cfRule>
  </conditionalFormatting>
  <conditionalFormatting sqref="A26">
    <cfRule type="expression" dxfId="180" priority="91" stopIfTrue="1">
      <formula>$H26="S/STOCK"</formula>
    </cfRule>
  </conditionalFormatting>
  <conditionalFormatting sqref="A26">
    <cfRule type="expression" dxfId="179" priority="90" stopIfTrue="1">
      <formula>$H26="S/STOCK"</formula>
    </cfRule>
  </conditionalFormatting>
  <conditionalFormatting sqref="A26">
    <cfRule type="expression" dxfId="178" priority="89" stopIfTrue="1">
      <formula>$H26="S/STOCK"</formula>
    </cfRule>
  </conditionalFormatting>
  <conditionalFormatting sqref="A26">
    <cfRule type="expression" dxfId="177" priority="88" stopIfTrue="1">
      <formula>$H26="S/STOCK"</formula>
    </cfRule>
  </conditionalFormatting>
  <conditionalFormatting sqref="A26">
    <cfRule type="expression" dxfId="176" priority="87" stopIfTrue="1">
      <formula>$H26="S/STOCK"</formula>
    </cfRule>
  </conditionalFormatting>
  <conditionalFormatting sqref="A26">
    <cfRule type="expression" dxfId="175" priority="86" stopIfTrue="1">
      <formula>$H26="S/STOCK"</formula>
    </cfRule>
  </conditionalFormatting>
  <conditionalFormatting sqref="A26">
    <cfRule type="expression" dxfId="174" priority="85" stopIfTrue="1">
      <formula>$H26="S/STOCK"</formula>
    </cfRule>
  </conditionalFormatting>
  <conditionalFormatting sqref="A26">
    <cfRule type="expression" dxfId="173" priority="84" stopIfTrue="1">
      <formula>$H26="S/STOCK"</formula>
    </cfRule>
  </conditionalFormatting>
  <conditionalFormatting sqref="A26">
    <cfRule type="expression" dxfId="172" priority="83" stopIfTrue="1">
      <formula>$H26="S/STOCK"</formula>
    </cfRule>
  </conditionalFormatting>
  <conditionalFormatting sqref="A26">
    <cfRule type="expression" dxfId="171" priority="82" stopIfTrue="1">
      <formula>$H26="S/STOCK"</formula>
    </cfRule>
  </conditionalFormatting>
  <conditionalFormatting sqref="A26">
    <cfRule type="expression" dxfId="170" priority="81" stopIfTrue="1">
      <formula>$H26="S/STOCK"</formula>
    </cfRule>
  </conditionalFormatting>
  <conditionalFormatting sqref="A26">
    <cfRule type="expression" dxfId="169" priority="80" stopIfTrue="1">
      <formula>$H26="S/STOCK"</formula>
    </cfRule>
  </conditionalFormatting>
  <conditionalFormatting sqref="A51">
    <cfRule type="expression" dxfId="168" priority="79" stopIfTrue="1">
      <formula>$H51="S/STOCK"</formula>
    </cfRule>
  </conditionalFormatting>
  <conditionalFormatting sqref="A52">
    <cfRule type="expression" dxfId="167" priority="78" stopIfTrue="1">
      <formula>$H52="S/STOCK"</formula>
    </cfRule>
  </conditionalFormatting>
  <conditionalFormatting sqref="A52">
    <cfRule type="expression" dxfId="166" priority="77" stopIfTrue="1">
      <formula>$H52="S/STOCK"</formula>
    </cfRule>
  </conditionalFormatting>
  <conditionalFormatting sqref="A52">
    <cfRule type="expression" dxfId="165" priority="76" stopIfTrue="1">
      <formula>$H52="S/STOCK"</formula>
    </cfRule>
  </conditionalFormatting>
  <conditionalFormatting sqref="A52">
    <cfRule type="expression" dxfId="164" priority="75" stopIfTrue="1">
      <formula>$H52="S/STOCK"</formula>
    </cfRule>
  </conditionalFormatting>
  <conditionalFormatting sqref="A53">
    <cfRule type="expression" dxfId="163" priority="74" stopIfTrue="1">
      <formula>$H53="S/STOCK"</formula>
    </cfRule>
  </conditionalFormatting>
  <conditionalFormatting sqref="A53">
    <cfRule type="expression" dxfId="162" priority="73" stopIfTrue="1">
      <formula>$H53="S/STOCK"</formula>
    </cfRule>
  </conditionalFormatting>
  <conditionalFormatting sqref="A53">
    <cfRule type="expression" dxfId="161" priority="72" stopIfTrue="1">
      <formula>$H53="S/STOCK"</formula>
    </cfRule>
  </conditionalFormatting>
  <conditionalFormatting sqref="A53">
    <cfRule type="expression" dxfId="160" priority="71" stopIfTrue="1">
      <formula>$H53="S/STOCK"</formula>
    </cfRule>
  </conditionalFormatting>
  <conditionalFormatting sqref="A36">
    <cfRule type="expression" dxfId="159" priority="1" stopIfTrue="1">
      <formula>$H36="S/STOCK"</formula>
    </cfRule>
  </conditionalFormatting>
  <dataValidations count="1">
    <dataValidation type="list" allowBlank="1" showInputMessage="1" showErrorMessage="1" sqref="A62:A66 A42:A56 A12:A17 A20:A39">
      <formula1>INGREDIENTES</formula1>
    </dataValidation>
  </dataValidations>
  <pageMargins left="0.25" right="0.25" top="0.75" bottom="0.75" header="0.3" footer="0.3"/>
  <pageSetup scale="43" firstPageNumber="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Y87"/>
  <sheetViews>
    <sheetView showGridLines="0" zoomScale="80" zoomScaleNormal="80" zoomScaleSheetLayoutView="70" workbookViewId="0">
      <selection sqref="A1:N1"/>
    </sheetView>
  </sheetViews>
  <sheetFormatPr baseColWidth="10" defaultColWidth="11.42578125" defaultRowHeight="12.75" x14ac:dyDescent="0.2"/>
  <cols>
    <col min="1" max="1" width="39.28515625" style="28" bestFit="1" customWidth="1"/>
    <col min="2" max="3" width="14.7109375" style="28" customWidth="1"/>
    <col min="4" max="10" width="14.7109375" style="36" customWidth="1"/>
    <col min="11" max="14" width="14.7109375" style="21" customWidth="1"/>
    <col min="15" max="15" width="6" style="21" customWidth="1"/>
    <col min="16" max="16" width="13.42578125" style="21" customWidth="1"/>
    <col min="17" max="17" width="24.28515625" style="21" bestFit="1" customWidth="1"/>
    <col min="18" max="18" width="12.7109375" style="21" bestFit="1" customWidth="1"/>
    <col min="19" max="19" width="12.140625" style="21" bestFit="1" customWidth="1"/>
    <col min="20" max="20" width="13.85546875" style="21" customWidth="1"/>
    <col min="21" max="21" width="13" style="21" customWidth="1"/>
    <col min="22" max="22" width="13.7109375" style="21" customWidth="1"/>
    <col min="23" max="23" width="13.85546875" style="21" customWidth="1"/>
    <col min="24" max="30" width="11.42578125" style="21"/>
    <col min="31" max="16384" width="11.42578125" style="28"/>
  </cols>
  <sheetData>
    <row r="1" spans="1:155" ht="20.25" customHeight="1" thickBot="1" x14ac:dyDescent="0.25">
      <c r="A1" s="586" t="s">
        <v>26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157"/>
    </row>
    <row r="2" spans="1:155" ht="12.95" customHeight="1" x14ac:dyDescent="0.2">
      <c r="A2" s="63" t="s">
        <v>42</v>
      </c>
      <c r="B2" s="279" t="str">
        <f>'MENU COMÚN'!F6</f>
        <v>LECHE-TÉ- CAFÉ</v>
      </c>
      <c r="C2" s="280"/>
      <c r="D2" s="281" t="str">
        <f>'MENU COMÚN'!F7</f>
        <v xml:space="preserve">PAN (100 GR) C/PASTA POLLO  </v>
      </c>
      <c r="E2" s="281"/>
      <c r="F2" s="258"/>
      <c r="G2" s="592" t="s">
        <v>387</v>
      </c>
      <c r="H2" s="593"/>
      <c r="I2" s="218">
        <v>0</v>
      </c>
      <c r="Q2" s="23"/>
      <c r="R2" s="27"/>
      <c r="S2" s="17"/>
      <c r="T2" s="17"/>
      <c r="U2" s="17"/>
      <c r="V2" s="17"/>
      <c r="W2" s="17"/>
      <c r="X2" s="17"/>
    </row>
    <row r="3" spans="1:155" ht="12.95" customHeight="1" thickBot="1" x14ac:dyDescent="0.25">
      <c r="A3" s="63" t="s">
        <v>21</v>
      </c>
      <c r="B3" s="21" t="str">
        <f>'MENU COMÚN'!F9</f>
        <v>ENS.POROTO NEGRO/LECHUGA</v>
      </c>
      <c r="C3" s="29"/>
      <c r="D3" s="22"/>
      <c r="E3" s="22"/>
      <c r="F3" s="22"/>
      <c r="G3" s="594" t="s">
        <v>134</v>
      </c>
      <c r="H3" s="595"/>
      <c r="I3" s="219">
        <f>LUNES!$I$3</f>
        <v>80</v>
      </c>
      <c r="Q3" s="23"/>
      <c r="R3" s="27"/>
      <c r="S3" s="17"/>
      <c r="T3" s="17"/>
      <c r="U3" s="17"/>
      <c r="V3" s="17"/>
      <c r="W3" s="17"/>
      <c r="X3" s="17"/>
    </row>
    <row r="4" spans="1:155" ht="12.95" customHeight="1" x14ac:dyDescent="0.2">
      <c r="A4" s="63"/>
      <c r="B4" s="261" t="str">
        <f>'MENU COMÚN'!F13</f>
        <v>AJIACO                                                                                                                                                               (VACUNO, HUEVO)</v>
      </c>
      <c r="C4" s="262"/>
      <c r="D4" s="263"/>
      <c r="E4" s="263"/>
      <c r="F4" s="263"/>
      <c r="G4" s="22"/>
      <c r="H4" s="26"/>
      <c r="I4" s="26"/>
      <c r="J4" s="57"/>
      <c r="Q4" s="23"/>
      <c r="R4" s="27"/>
      <c r="S4" s="17"/>
      <c r="T4" s="17"/>
      <c r="U4" s="17"/>
      <c r="V4" s="17"/>
      <c r="W4" s="17"/>
      <c r="X4" s="17"/>
    </row>
    <row r="5" spans="1:155" ht="12.95" customHeight="1" x14ac:dyDescent="0.2">
      <c r="A5" s="63"/>
      <c r="B5" s="261" t="str">
        <f>'MENU COMÚN'!F14</f>
        <v>FLAN DE CHOCOLATE</v>
      </c>
      <c r="C5" s="21"/>
      <c r="D5" s="22"/>
      <c r="E5" s="22"/>
      <c r="F5" s="22"/>
      <c r="G5" s="22"/>
      <c r="H5" s="31"/>
      <c r="I5" s="31"/>
      <c r="J5" s="22"/>
      <c r="Q5" s="33"/>
      <c r="R5" s="189"/>
    </row>
    <row r="6" spans="1:155" ht="12.95" customHeight="1" x14ac:dyDescent="0.2">
      <c r="A6" s="63"/>
      <c r="B6" s="21"/>
      <c r="C6" s="21"/>
      <c r="D6" s="31"/>
      <c r="E6" s="31"/>
      <c r="F6" s="31"/>
      <c r="G6" s="31"/>
      <c r="H6" s="31"/>
      <c r="I6" s="31"/>
      <c r="J6" s="31"/>
    </row>
    <row r="7" spans="1:155" x14ac:dyDescent="0.2">
      <c r="A7" s="63" t="s">
        <v>23</v>
      </c>
      <c r="B7" s="21" t="str">
        <f>'MENU COMÚN'!F17</f>
        <v>SOPA DESHIDRATADA</v>
      </c>
      <c r="C7" s="21"/>
      <c r="D7" s="31"/>
      <c r="E7" s="31"/>
      <c r="F7" s="31"/>
      <c r="G7" s="31"/>
      <c r="H7" s="31"/>
      <c r="I7" s="31"/>
      <c r="J7" s="31"/>
      <c r="Q7" s="198" t="s">
        <v>893</v>
      </c>
      <c r="R7" s="186"/>
    </row>
    <row r="8" spans="1:155" ht="12.95" customHeight="1" x14ac:dyDescent="0.2">
      <c r="A8" s="68"/>
      <c r="B8" s="21" t="str">
        <f>'MENU COMÚN'!F21</f>
        <v>ARROZ A LA VALENCIANA (S.MARISCOS,CERDO,CHORIZO)</v>
      </c>
      <c r="C8" s="261"/>
      <c r="D8" s="31"/>
      <c r="E8" s="31"/>
      <c r="F8" s="31"/>
      <c r="G8" s="31"/>
      <c r="H8" s="31"/>
      <c r="I8" s="31"/>
      <c r="J8" s="31"/>
      <c r="Q8" s="199">
        <f>LUNES!$Q$7</f>
        <v>0</v>
      </c>
      <c r="R8" s="168" t="s">
        <v>127</v>
      </c>
      <c r="S8" s="168" t="s">
        <v>128</v>
      </c>
      <c r="T8" s="169" t="s">
        <v>129</v>
      </c>
      <c r="U8" s="168" t="s">
        <v>130</v>
      </c>
      <c r="V8" s="168" t="s">
        <v>131</v>
      </c>
      <c r="W8" s="168" t="s">
        <v>132</v>
      </c>
      <c r="X8" s="168" t="s">
        <v>133</v>
      </c>
    </row>
    <row r="9" spans="1:155" ht="12.95" customHeight="1" thickBot="1" x14ac:dyDescent="0.25">
      <c r="A9" s="68"/>
      <c r="B9" s="261" t="str">
        <f>'MENU COMÚN'!F22</f>
        <v>JALEA FRAMBUESA</v>
      </c>
      <c r="C9" s="21"/>
      <c r="D9" s="31"/>
      <c r="E9" s="31"/>
      <c r="F9" s="31"/>
      <c r="G9" s="31"/>
      <c r="H9" s="31"/>
      <c r="I9" s="31"/>
      <c r="J9" s="31"/>
      <c r="P9" s="195">
        <f>LUNES!P9</f>
        <v>2429</v>
      </c>
      <c r="Q9" s="162" t="s">
        <v>134</v>
      </c>
      <c r="R9" s="166">
        <f>I20+I40+I57</f>
        <v>3384.3109835164832</v>
      </c>
      <c r="S9" s="158">
        <f>+$P$9+($P$9*$Q$8)</f>
        <v>2429</v>
      </c>
      <c r="T9" s="167">
        <f>+$I$3</f>
        <v>80</v>
      </c>
      <c r="U9" s="158">
        <f>$R$9*$T$9</f>
        <v>270744.87868131866</v>
      </c>
      <c r="V9" s="158">
        <f>$S$9*$T$9</f>
        <v>194320</v>
      </c>
      <c r="W9" s="161">
        <f>$V$9-$U$9</f>
        <v>-76424.87868131866</v>
      </c>
      <c r="X9" s="160">
        <f>$W$9/$V$9</f>
        <v>-0.39329394134066825</v>
      </c>
    </row>
    <row r="10" spans="1:155" s="17" customFormat="1" ht="26.25" thickBot="1" x14ac:dyDescent="0.25">
      <c r="A10" s="99" t="s">
        <v>17</v>
      </c>
      <c r="B10" s="100" t="s">
        <v>94</v>
      </c>
      <c r="C10" s="101" t="s">
        <v>18</v>
      </c>
      <c r="D10" s="101" t="s">
        <v>103</v>
      </c>
      <c r="E10" s="101"/>
      <c r="F10" s="101" t="s">
        <v>891</v>
      </c>
      <c r="G10" s="101" t="s">
        <v>91</v>
      </c>
      <c r="H10" s="101" t="s">
        <v>19</v>
      </c>
      <c r="I10" s="101" t="s">
        <v>45</v>
      </c>
      <c r="J10" s="102" t="s">
        <v>20</v>
      </c>
      <c r="K10" s="102" t="s">
        <v>43</v>
      </c>
      <c r="L10" s="103" t="s">
        <v>44</v>
      </c>
      <c r="M10" s="104" t="s">
        <v>207</v>
      </c>
      <c r="N10" s="105" t="s">
        <v>208</v>
      </c>
      <c r="O10" s="193"/>
      <c r="Q10" s="589" t="s">
        <v>29</v>
      </c>
      <c r="R10" s="590"/>
      <c r="S10" s="590"/>
      <c r="T10" s="591"/>
      <c r="U10" s="163">
        <f>SUM(U9:U9)</f>
        <v>270744.87868131866</v>
      </c>
      <c r="V10" s="163">
        <f>SUM(V9:V9)</f>
        <v>194320</v>
      </c>
      <c r="W10" s="164">
        <f>V10-U10</f>
        <v>-76424.87868131866</v>
      </c>
      <c r="X10" s="165">
        <f>W10/V10</f>
        <v>-0.39329394134066825</v>
      </c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</row>
    <row r="11" spans="1:155" s="17" customFormat="1" ht="13.5" customHeight="1" thickBot="1" x14ac:dyDescent="0.25">
      <c r="A11" s="106" t="s">
        <v>42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8"/>
      <c r="O11" s="32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</row>
    <row r="12" spans="1:155" s="17" customFormat="1" ht="13.5" customHeight="1" x14ac:dyDescent="0.2">
      <c r="A12" s="248" t="s">
        <v>412</v>
      </c>
      <c r="B12" s="141" t="str">
        <f>VLOOKUP($A12,NSN!$A:$B,2,FALSE)</f>
        <v>C903335</v>
      </c>
      <c r="C12" s="142" t="str">
        <f>VLOOKUP($A12,CODIGOS!$B:$E,4,FALSE)</f>
        <v>800 grs</v>
      </c>
      <c r="D12" s="143">
        <f t="shared" ref="D12:D19" si="0">($F12*$I$3)/1000</f>
        <v>1.6</v>
      </c>
      <c r="E12" s="143">
        <f>IF(VLOOKUP($B12,CODIGOS!$A:$F,6,0)&lt;&gt;1000,(($F12*$I$3)/VLOOKUP($B12,CODIGOS!$A:$F,6,0)),"")</f>
        <v>2</v>
      </c>
      <c r="F12" s="207">
        <v>20</v>
      </c>
      <c r="G12" s="144">
        <f>(F12/1000)*VLOOKUP($B12,CODIGOS!$A:$G,7,0)</f>
        <v>0.02</v>
      </c>
      <c r="H12" s="25">
        <f>VLOOKUP($A12,CODIGOS!$B:$D,2,FALSE)</f>
        <v>4975</v>
      </c>
      <c r="I12" s="25">
        <f>IF($H12="S/STOCK","",$J12/$I$3)</f>
        <v>124.375</v>
      </c>
      <c r="J12" s="25">
        <f>IF(H12="S/STOCK","",IF($E12="",$D12*$H12,$E12*$H12))</f>
        <v>9950</v>
      </c>
      <c r="K12" s="144">
        <f>VLOOKUP($B12,CODIGOS!$A:$K,8,0)*$G12*1000</f>
        <v>70.599999999999994</v>
      </c>
      <c r="L12" s="144">
        <f>VLOOKUP($B12,CODIGOS!$A:$K,9,0)*$G12*1000</f>
        <v>8.0200000000000014</v>
      </c>
      <c r="M12" s="144">
        <f>VLOOKUP($B12,CODIGOS!$A:$K,10,0)*$G12*1000</f>
        <v>0.02</v>
      </c>
      <c r="N12" s="220">
        <f>VLOOKUP($B12,CODIGOS!$A:$K,11,0)*$G12*1000</f>
        <v>9.58</v>
      </c>
      <c r="O12" s="22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</row>
    <row r="13" spans="1:155" s="17" customFormat="1" ht="13.5" customHeight="1" x14ac:dyDescent="0.2">
      <c r="A13" s="248" t="s">
        <v>10</v>
      </c>
      <c r="B13" s="122" t="str">
        <f>VLOOKUP($A13,NSN!$A:$B,2,FALSE)</f>
        <v>C000827</v>
      </c>
      <c r="C13" s="123" t="str">
        <f>VLOOKUP($A13,CODIGOS!$B:$E,4,FALSE)</f>
        <v>KG</v>
      </c>
      <c r="D13" s="124">
        <f t="shared" si="0"/>
        <v>0.12</v>
      </c>
      <c r="E13" s="124" t="str">
        <f>IF(VLOOKUP($B13,CODIGOS!$A:$F,6,0)&lt;&gt;1000,(($F13*$I$3)/VLOOKUP($B13,CODIGOS!$A:$F,6,0)),"")</f>
        <v/>
      </c>
      <c r="F13" s="206">
        <v>1.5</v>
      </c>
      <c r="G13" s="125">
        <f>(F13/1000)*VLOOKUP($B13,CODIGOS!$A:$G,7,0)</f>
        <v>1.5E-3</v>
      </c>
      <c r="H13" s="24">
        <f>VLOOKUP($A13,CODIGOS!$B:$D,2,FALSE)</f>
        <v>7800</v>
      </c>
      <c r="I13" s="24">
        <f t="shared" ref="I13:I19" si="1">IF($H13="S/STOCK","",$J13/$I$3)</f>
        <v>11.7</v>
      </c>
      <c r="J13" s="24">
        <f t="shared" ref="J13:J19" si="2">IF(H13="S/STOCK","",IF($E13="",$D13*$H13,$E13*$H13))</f>
        <v>936</v>
      </c>
      <c r="K13" s="125">
        <f>VLOOKUP($B13,CODIGOS!$A:$K,8,0)*$G13*1000</f>
        <v>1.5000000000000001E-2</v>
      </c>
      <c r="L13" s="125">
        <f>VLOOKUP($B13,CODIGOS!$A:$K,9,0)*$G13*1000</f>
        <v>0</v>
      </c>
      <c r="M13" s="125">
        <f>VLOOKUP($B13,CODIGOS!$A:$K,10,0)*$G13*1000</f>
        <v>0</v>
      </c>
      <c r="N13" s="221">
        <f>VLOOKUP($B13,CODIGOS!$A:$K,11,0)*$G13*1000</f>
        <v>3.0000000000000001E-3</v>
      </c>
      <c r="O13" s="22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</row>
    <row r="14" spans="1:155" s="17" customFormat="1" ht="13.5" customHeight="1" x14ac:dyDescent="0.2">
      <c r="A14" s="248" t="s">
        <v>646</v>
      </c>
      <c r="B14" s="122" t="str">
        <f>VLOOKUP($A14,NSN!$A:$B,2,FALSE)</f>
        <v>C000523</v>
      </c>
      <c r="C14" s="123" t="str">
        <f>VLOOKUP($A14,CODIGOS!$B:$E,4,FALSE)</f>
        <v>TA 400 gr</v>
      </c>
      <c r="D14" s="124">
        <f t="shared" si="0"/>
        <v>0.08</v>
      </c>
      <c r="E14" s="124">
        <f>IF(VLOOKUP($B14,CODIGOS!$A:$F,6,0)&lt;&gt;1000,(($F14*$I$3)/VLOOKUP($B14,CODIGOS!$A:$F,6,0)),"")</f>
        <v>0.2</v>
      </c>
      <c r="F14" s="206">
        <v>1</v>
      </c>
      <c r="G14" s="125">
        <f>(F14/1000)*VLOOKUP($B14,CODIGOS!$A:$G,7,0)</f>
        <v>1E-3</v>
      </c>
      <c r="H14" s="24">
        <f>VLOOKUP($A14,CODIGOS!$B:$D,2,FALSE)</f>
        <v>9990</v>
      </c>
      <c r="I14" s="24">
        <f t="shared" si="1"/>
        <v>24.975000000000001</v>
      </c>
      <c r="J14" s="24">
        <f t="shared" si="2"/>
        <v>1998</v>
      </c>
      <c r="K14" s="125">
        <f>VLOOKUP($B14,CODIGOS!$A:$K,8,0)*$G14*1000</f>
        <v>2.61</v>
      </c>
      <c r="L14" s="125">
        <f>VLOOKUP($B14,CODIGOS!$A:$K,9,0)*$G14*1000</f>
        <v>0.16399999999999998</v>
      </c>
      <c r="M14" s="125">
        <f>VLOOKUP($B14,CODIGOS!$A:$K,10,0)*$G14*1000</f>
        <v>1E-3</v>
      </c>
      <c r="N14" s="221">
        <f>VLOOKUP($B14,CODIGOS!$A:$K,11,0)*$G14*1000</f>
        <v>0.49</v>
      </c>
      <c r="O14" s="22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</row>
    <row r="15" spans="1:155" s="17" customFormat="1" ht="13.5" customHeight="1" x14ac:dyDescent="0.2">
      <c r="A15" s="248" t="s">
        <v>394</v>
      </c>
      <c r="B15" s="122" t="str">
        <f>VLOOKUP($A15,NSN!$A:$B,2,FALSE)</f>
        <v>C000816</v>
      </c>
      <c r="C15" s="123" t="str">
        <f>VLOOKUP($A15,CODIGOS!$B:$E,4,FALSE)</f>
        <v>KG</v>
      </c>
      <c r="D15" s="124">
        <f t="shared" si="0"/>
        <v>0.8</v>
      </c>
      <c r="E15" s="124" t="str">
        <f>IF(VLOOKUP($B15,CODIGOS!$A:$F,6,0)&lt;&gt;1000,(($F15*$I$3)/VLOOKUP($B15,CODIGOS!$A:$F,6,0)),"")</f>
        <v/>
      </c>
      <c r="F15" s="210">
        <v>10</v>
      </c>
      <c r="G15" s="125">
        <f>(F15/1000)*VLOOKUP($B15,CODIGOS!$A:$G,7,0)</f>
        <v>0.01</v>
      </c>
      <c r="H15" s="24">
        <f>VLOOKUP($A15,CODIGOS!$B:$D,2,FALSE)</f>
        <v>1128</v>
      </c>
      <c r="I15" s="24">
        <f t="shared" si="1"/>
        <v>11.280000000000001</v>
      </c>
      <c r="J15" s="24">
        <f t="shared" si="2"/>
        <v>902.40000000000009</v>
      </c>
      <c r="K15" s="125">
        <f>VLOOKUP($B15,CODIGOS!$A:$K,8,0)*$G15*1000</f>
        <v>39.800000000000004</v>
      </c>
      <c r="L15" s="125">
        <f>VLOOKUP($B15,CODIGOS!$A:$K,9,0)*$G15*1000</f>
        <v>0</v>
      </c>
      <c r="M15" s="125">
        <f>VLOOKUP($B15,CODIGOS!$A:$K,10,0)*$G15*1000</f>
        <v>0</v>
      </c>
      <c r="N15" s="221">
        <f>VLOOKUP($B15,CODIGOS!$A:$K,11,0)*$G15*1000</f>
        <v>9.9500000000000011</v>
      </c>
      <c r="O15" s="22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</row>
    <row r="16" spans="1:155" x14ac:dyDescent="0.2">
      <c r="A16" s="248" t="s">
        <v>2337</v>
      </c>
      <c r="B16" s="122" t="str">
        <f>VLOOKUP($A16,NSN!$A:$B,2,FALSE)</f>
        <v>C903555</v>
      </c>
      <c r="C16" s="123" t="str">
        <f>VLOOKUP($A16,CODIGOS!$B:$E,4,FALSE)</f>
        <v>KG</v>
      </c>
      <c r="D16" s="124">
        <f t="shared" si="0"/>
        <v>4.8</v>
      </c>
      <c r="E16" s="124" t="str">
        <f>IF(VLOOKUP($B16,CODIGOS!$A:$F,6,0)&lt;&gt;1000,(($F16*$I$3)/VLOOKUP($B16,CODIGOS!$A:$F,6,0)),"")</f>
        <v/>
      </c>
      <c r="F16" s="501">
        <v>60</v>
      </c>
      <c r="G16" s="135">
        <f>(F16/1000)*VLOOKUP($B16,CODIGOS!$A:$G,7,0)</f>
        <v>4.3379999999999995E-2</v>
      </c>
      <c r="H16" s="24">
        <f>VLOOKUP($A16,CODIGOS!$B:$D,2,FALSE)</f>
        <v>4165</v>
      </c>
      <c r="I16" s="147">
        <f t="shared" si="1"/>
        <v>249.9</v>
      </c>
      <c r="J16" s="53">
        <f>IF(H16="S/STOCK","",IF($E16="",$D16*$H16,$E16*$H16))</f>
        <v>19992</v>
      </c>
      <c r="K16" s="131">
        <f>VLOOKUP($B16,CODIGOS!$A:$K,8,0)*$G16*1000</f>
        <v>86.326199999999986</v>
      </c>
      <c r="L16" s="132">
        <f>VLOOKUP($B16,CODIGOS!$A:$K,9,0)*$G16*1000</f>
        <v>9.7171199999999978</v>
      </c>
      <c r="M16" s="132">
        <f>VLOOKUP($B16,CODIGOS!$A:$K,10,0)*$G16*1000</f>
        <v>4.9886999999999997</v>
      </c>
      <c r="N16" s="133">
        <f>VLOOKUP($B16,CODIGOS!$A:$K,11,0)*$G16*1000</f>
        <v>0.65069999999999995</v>
      </c>
    </row>
    <row r="17" spans="1:14" x14ac:dyDescent="0.2">
      <c r="A17" s="248" t="s">
        <v>622</v>
      </c>
      <c r="B17" s="122" t="str">
        <f>VLOOKUP($A17,NSN!$A:$B,2,FALSE)</f>
        <v>V000361</v>
      </c>
      <c r="C17" s="123" t="str">
        <f>VLOOKUP($A17,CODIGOS!$B:$E,4,FALSE)</f>
        <v>KG</v>
      </c>
      <c r="D17" s="124">
        <f t="shared" si="0"/>
        <v>0.8</v>
      </c>
      <c r="E17" s="124" t="str">
        <f>IF(VLOOKUP($B17,CODIGOS!$A:$F,6,0)&lt;&gt;1000,(($F17*$I$3)/VLOOKUP($B17,CODIGOS!$A:$F,6,0)),"")</f>
        <v/>
      </c>
      <c r="F17" s="501">
        <v>10</v>
      </c>
      <c r="G17" s="125">
        <f>(F17/1000)*VLOOKUP($B17,CODIGOS!$A:$G,7,0)</f>
        <v>0.01</v>
      </c>
      <c r="H17" s="24">
        <f>VLOOKUP($A17,CODIGOS!$B:$D,2,FALSE)</f>
        <v>2397</v>
      </c>
      <c r="I17" s="24">
        <f t="shared" si="1"/>
        <v>23.970000000000002</v>
      </c>
      <c r="J17" s="24">
        <f t="shared" ref="J17" si="3">IF(H17="S/STOCK","",IF($E17="",$D17*$H17,$E17*$H17))</f>
        <v>1917.6000000000001</v>
      </c>
      <c r="K17" s="125">
        <f>VLOOKUP($B17,CODIGOS!$A:$K,8,0)*$G17*1000</f>
        <v>62.6</v>
      </c>
      <c r="L17" s="125">
        <f>VLOOKUP($B17,CODIGOS!$A:$K,9,0)*$G17*1000</f>
        <v>0.13</v>
      </c>
      <c r="M17" s="125">
        <f>VLOOKUP($B17,CODIGOS!$A:$K,10,0)*$G17*1000</f>
        <v>6.48</v>
      </c>
      <c r="N17" s="221">
        <f>VLOOKUP($B17,CODIGOS!$A:$K,11,0)*$G17*1000</f>
        <v>0.95</v>
      </c>
    </row>
    <row r="18" spans="1:14" x14ac:dyDescent="0.2">
      <c r="A18" s="248" t="s">
        <v>653</v>
      </c>
      <c r="B18" s="122" t="str">
        <f>VLOOKUP($A18,NSN!$A:$B,2,FALSE)</f>
        <v>C000528</v>
      </c>
      <c r="C18" s="123" t="str">
        <f>VLOOKUP($A18,CODIGOS!$B:$E,4,FALSE)</f>
        <v>KG</v>
      </c>
      <c r="D18" s="124">
        <f t="shared" si="0"/>
        <v>0.04</v>
      </c>
      <c r="E18" s="124" t="str">
        <f>IF(VLOOKUP($B18,CODIGOS!$A:$F,6,0)&lt;&gt;1000,(($F18*$I$3)/VLOOKUP($B18,CODIGOS!$A:$F,6,0)),"")</f>
        <v/>
      </c>
      <c r="F18" s="501">
        <v>0.5</v>
      </c>
      <c r="G18" s="135">
        <f>(F18/1000)*VLOOKUP($B18,CODIGOS!$A:$G,7,0)</f>
        <v>5.0000000000000001E-4</v>
      </c>
      <c r="H18" s="24">
        <f>VLOOKUP($A18,CODIGOS!$B:$D,2,FALSE)</f>
        <v>375</v>
      </c>
      <c r="I18" s="147">
        <f t="shared" si="1"/>
        <v>0.1875</v>
      </c>
      <c r="J18" s="53">
        <f>IF(H18="S/STOCK","",IF($E18="",$D18*$H18,$E18*$H18))</f>
        <v>15</v>
      </c>
      <c r="K18" s="131">
        <f>VLOOKUP($B18,CODIGOS!$A:$K,8,0)*$G18*1000</f>
        <v>0</v>
      </c>
      <c r="L18" s="132">
        <f>VLOOKUP($B18,CODIGOS!$A:$K,9,0)*$G18*1000</f>
        <v>0</v>
      </c>
      <c r="M18" s="132">
        <f>VLOOKUP($B18,CODIGOS!$A:$K,10,0)*$G18*1000</f>
        <v>0</v>
      </c>
      <c r="N18" s="133">
        <f>VLOOKUP($B18,CODIGOS!$A:$K,11,0)*$G18*1000</f>
        <v>0</v>
      </c>
    </row>
    <row r="19" spans="1:14" ht="13.5" thickBot="1" x14ac:dyDescent="0.25">
      <c r="A19" s="248" t="s">
        <v>13</v>
      </c>
      <c r="B19" s="148" t="str">
        <f>VLOOKUP($A19,NSN!$A:$B,2,FALSE)</f>
        <v>V000415</v>
      </c>
      <c r="C19" s="149" t="str">
        <f>VLOOKUP($A19,CODIGOS!$B:$E,4,FALSE)</f>
        <v>KG</v>
      </c>
      <c r="D19" s="150">
        <f t="shared" si="0"/>
        <v>8</v>
      </c>
      <c r="E19" s="150" t="str">
        <f>IF(VLOOKUP($B19,CODIGOS!$A:$F,6,0)&lt;&gt;1000,(($F19*$I$3)/VLOOKUP($B19,CODIGOS!$A:$F,6,0)),"")</f>
        <v/>
      </c>
      <c r="F19" s="502">
        <v>100</v>
      </c>
      <c r="G19" s="137">
        <f>(F19/1000)*VLOOKUP($B19,CODIGOS!$A:$G,7,0)</f>
        <v>0.1</v>
      </c>
      <c r="H19" s="222">
        <f>VLOOKUP($A19,CODIGOS!$B:$D,2,FALSE)</f>
        <v>1783</v>
      </c>
      <c r="I19" s="222">
        <f t="shared" si="1"/>
        <v>178.3</v>
      </c>
      <c r="J19" s="222">
        <f t="shared" si="2"/>
        <v>14264</v>
      </c>
      <c r="K19" s="137">
        <f>VLOOKUP($B19,CODIGOS!$A:$K,8,0)*$G19*1000</f>
        <v>315</v>
      </c>
      <c r="L19" s="137">
        <f>VLOOKUP($B19,CODIGOS!$A:$K,9,0)*$G19*1000</f>
        <v>8.1999999999999993</v>
      </c>
      <c r="M19" s="137">
        <f>VLOOKUP($B19,CODIGOS!$A:$K,10,0)*$G19*1000</f>
        <v>4</v>
      </c>
      <c r="N19" s="223">
        <f>VLOOKUP($B19,CODIGOS!$A:$K,11,0)*$G19*1000</f>
        <v>61.6</v>
      </c>
    </row>
    <row r="20" spans="1:14" ht="13.5" thickBot="1" x14ac:dyDescent="0.25">
      <c r="A20" s="17" t="s">
        <v>627</v>
      </c>
      <c r="B20" s="33"/>
      <c r="C20" s="18"/>
      <c r="D20" s="126"/>
      <c r="E20" s="126"/>
      <c r="F20" s="211"/>
      <c r="G20" s="19"/>
      <c r="H20" s="41"/>
      <c r="I20" s="249">
        <f t="shared" ref="I20:N20" si="4">SUM(I12:I19)</f>
        <v>624.6875</v>
      </c>
      <c r="J20" s="250">
        <f t="shared" si="4"/>
        <v>49975</v>
      </c>
      <c r="K20" s="251">
        <f t="shared" si="4"/>
        <v>576.95119999999997</v>
      </c>
      <c r="L20" s="251">
        <f t="shared" si="4"/>
        <v>26.231119999999997</v>
      </c>
      <c r="M20" s="251">
        <f t="shared" si="4"/>
        <v>15.489699999999999</v>
      </c>
      <c r="N20" s="252">
        <f t="shared" si="4"/>
        <v>83.223700000000008</v>
      </c>
    </row>
    <row r="21" spans="1:14" ht="13.5" thickBot="1" x14ac:dyDescent="0.25">
      <c r="A21" s="106" t="s">
        <v>21</v>
      </c>
      <c r="B21" s="107"/>
      <c r="C21" s="107"/>
      <c r="D21" s="107"/>
      <c r="E21" s="107"/>
      <c r="F21" s="212"/>
      <c r="G21" s="107"/>
      <c r="H21" s="107"/>
      <c r="I21" s="107"/>
      <c r="J21" s="107"/>
      <c r="K21" s="107"/>
      <c r="L21" s="107"/>
      <c r="M21" s="107"/>
      <c r="N21" s="108"/>
    </row>
    <row r="22" spans="1:14" x14ac:dyDescent="0.2">
      <c r="A22" s="248" t="s">
        <v>323</v>
      </c>
      <c r="B22" s="141" t="str">
        <f>VLOOKUP($A22,NSN!$A:$B,2,FALSE)</f>
        <v>C902857</v>
      </c>
      <c r="C22" s="142" t="str">
        <f>VLOOKUP($A22,CODIGOS!$B:$E,4,FALSE)</f>
        <v>KG</v>
      </c>
      <c r="D22" s="143">
        <f t="shared" ref="D22:D39" si="5">($F22*$I$3)/1000</f>
        <v>0.48</v>
      </c>
      <c r="E22" s="143" t="str">
        <f>IF(VLOOKUP($B22,CODIGOS!$A:$F,6,0)&lt;&gt;1000,(($F22*$I$3)/VLOOKUP($B22,CODIGOS!$A:$F,6,0)),"")</f>
        <v/>
      </c>
      <c r="F22" s="207">
        <v>6</v>
      </c>
      <c r="G22" s="240">
        <f>(F22/1000)*VLOOKUP($B22,CODIGOS!$A:$G,7,0)</f>
        <v>6.0000000000000001E-3</v>
      </c>
      <c r="H22" s="25">
        <f>VLOOKUP($A22,CODIGOS!$B:$D,2,FALSE)</f>
        <v>2941</v>
      </c>
      <c r="I22" s="241">
        <f t="shared" ref="I22:I39" si="6">IF($H22="S/STOCK","",$J22/$I$3)</f>
        <v>17.645999999999997</v>
      </c>
      <c r="J22" s="59">
        <f t="shared" ref="J22:J39" si="7">IF(H22="S/STOCK","",IF($E22="",$D22*$H22,$E22*$H22))</f>
        <v>1411.6799999999998</v>
      </c>
      <c r="K22" s="128">
        <f>VLOOKUP($B22,CODIGOS!$A:$K,8,0)*$G22*1000</f>
        <v>21.54</v>
      </c>
      <c r="L22" s="129">
        <f>VLOOKUP($B22,CODIGOS!$A:$K,9,0)*$G22*1000</f>
        <v>0</v>
      </c>
      <c r="M22" s="129">
        <f>VLOOKUP($B22,CODIGOS!$A:$K,10,0)*$G22*1000</f>
        <v>0</v>
      </c>
      <c r="N22" s="130">
        <f>VLOOKUP($B22,CODIGOS!$A:$K,11,0)*$G22*1000</f>
        <v>5.3759999999999994</v>
      </c>
    </row>
    <row r="23" spans="1:14" x14ac:dyDescent="0.2">
      <c r="A23" s="248" t="s">
        <v>13</v>
      </c>
      <c r="B23" s="122" t="str">
        <f>VLOOKUP($A23,NSN!$A:$B,2,FALSE)</f>
        <v>V000415</v>
      </c>
      <c r="C23" s="123" t="str">
        <f>VLOOKUP($A23,CODIGOS!$B:$E,4,FALSE)</f>
        <v>KG</v>
      </c>
      <c r="D23" s="124">
        <f t="shared" si="5"/>
        <v>4</v>
      </c>
      <c r="E23" s="124" t="str">
        <f>IF(VLOOKUP($B23,CODIGOS!$A:$F,6,0)&lt;&gt;1000,(($F23*$I$3)/VLOOKUP($B23,CODIGOS!$A:$F,6,0)),"")</f>
        <v/>
      </c>
      <c r="F23" s="206">
        <v>50</v>
      </c>
      <c r="G23" s="135">
        <f>(F23/1000)*VLOOKUP($B23,CODIGOS!$A:$G,7,0)</f>
        <v>0.05</v>
      </c>
      <c r="H23" s="24">
        <f>VLOOKUP($A23,CODIGOS!$B:$D,2,FALSE)</f>
        <v>1783</v>
      </c>
      <c r="I23" s="147">
        <f t="shared" si="6"/>
        <v>89.15</v>
      </c>
      <c r="J23" s="53">
        <f t="shared" si="7"/>
        <v>7132</v>
      </c>
      <c r="K23" s="131">
        <f>VLOOKUP($B23,CODIGOS!$A:$K,8,0)*$G23*1000</f>
        <v>157.5</v>
      </c>
      <c r="L23" s="132">
        <f>VLOOKUP($B23,CODIGOS!$A:$K,9,0)*$G23*1000</f>
        <v>4.0999999999999996</v>
      </c>
      <c r="M23" s="132">
        <f>VLOOKUP($B23,CODIGOS!$A:$K,10,0)*$G23*1000</f>
        <v>2</v>
      </c>
      <c r="N23" s="133">
        <f>VLOOKUP($B23,CODIGOS!$A:$K,11,0)*$G23*1000</f>
        <v>30.8</v>
      </c>
    </row>
    <row r="24" spans="1:14" x14ac:dyDescent="0.2">
      <c r="A24" s="248" t="s">
        <v>1358</v>
      </c>
      <c r="B24" s="122" t="str">
        <f>VLOOKUP($A24,NSN!$A:$B,2,FALSE)</f>
        <v>C903498</v>
      </c>
      <c r="C24" s="123" t="str">
        <f>VLOOKUP($A24,CODIGOS!$B:$E,4,FALSE)</f>
        <v>KG</v>
      </c>
      <c r="D24" s="124">
        <f t="shared" si="5"/>
        <v>1.6</v>
      </c>
      <c r="E24" s="124" t="str">
        <f>IF(VLOOKUP($B24,CODIGOS!$A:$F,6,0)&lt;&gt;1000,(($F24*$I$3)/VLOOKUP($B24,CODIGOS!$A:$F,6,0)),"")</f>
        <v/>
      </c>
      <c r="F24" s="508">
        <v>20</v>
      </c>
      <c r="G24" s="135">
        <f>(F24/1000)*VLOOKUP($B24,CODIGOS!$A:$G,7,0)</f>
        <v>0.02</v>
      </c>
      <c r="H24" s="24">
        <f>VLOOKUP($A24,CODIGOS!$B:$D,2,FALSE)</f>
        <v>1976</v>
      </c>
      <c r="I24" s="147">
        <f t="shared" si="6"/>
        <v>39.520000000000003</v>
      </c>
      <c r="J24" s="53">
        <f t="shared" si="7"/>
        <v>3161.6000000000004</v>
      </c>
      <c r="K24" s="131">
        <f>VLOOKUP($B24,CODIGOS!$A:$K,8,0)*$G24*1000</f>
        <v>63.6</v>
      </c>
      <c r="L24" s="132">
        <f>VLOOKUP($B24,CODIGOS!$A:$K,9,0)*$G24*1000</f>
        <v>0.46</v>
      </c>
      <c r="M24" s="132">
        <f>VLOOKUP($B24,CODIGOS!$A:$K,10,0)*$G24*1000</f>
        <v>6.0000000000000005E-2</v>
      </c>
      <c r="N24" s="133">
        <f>VLOOKUP($B24,CODIGOS!$A:$K,11,0)*$G24*1000</f>
        <v>0.94</v>
      </c>
    </row>
    <row r="25" spans="1:14" x14ac:dyDescent="0.2">
      <c r="A25" s="248" t="s">
        <v>196</v>
      </c>
      <c r="B25" s="122" t="str">
        <f>VLOOKUP($A25,NSN!$A:$B,2,FALSE)</f>
        <v>V000170</v>
      </c>
      <c r="C25" s="123" t="str">
        <f>VLOOKUP($A25,CODIGOS!$B:$E,4,FALSE)</f>
        <v>NR (650 g)</v>
      </c>
      <c r="D25" s="124">
        <f t="shared" si="5"/>
        <v>3.2</v>
      </c>
      <c r="E25" s="124">
        <f>IF(VLOOKUP($B25,CODIGOS!$A:$F,6,0)&lt;&gt;1000,(($F25*$I$3)/VLOOKUP($B25,CODIGOS!$A:$F,6,0)),"")</f>
        <v>4.9230769230769234</v>
      </c>
      <c r="F25" s="508">
        <v>40</v>
      </c>
      <c r="G25" s="135">
        <f>(F25/1000)*VLOOKUP($B25,CODIGOS!$A:$G,7,0)</f>
        <v>3.8239999999999996E-2</v>
      </c>
      <c r="H25" s="24">
        <f>VLOOKUP($A25,CODIGOS!$B:$D,2,FALSE)</f>
        <v>1190</v>
      </c>
      <c r="I25" s="147">
        <f t="shared" si="6"/>
        <v>73.230769230769241</v>
      </c>
      <c r="J25" s="53">
        <f t="shared" si="7"/>
        <v>5858.461538461539</v>
      </c>
      <c r="K25" s="131">
        <f>VLOOKUP($B25,CODIGOS!$A:$K,8,0)*$G25*1000</f>
        <v>7.2656000000000001</v>
      </c>
      <c r="L25" s="132">
        <f>VLOOKUP($B25,CODIGOS!$A:$K,9,0)*$G25*1000</f>
        <v>0.65007999999999988</v>
      </c>
      <c r="M25" s="132">
        <f>VLOOKUP($B25,CODIGOS!$A:$K,10,0)*$G25*1000</f>
        <v>0.15296000000000001</v>
      </c>
      <c r="N25" s="133">
        <f>VLOOKUP($B25,CODIGOS!$A:$K,11,0)*$G25*1000</f>
        <v>0.84128000000000003</v>
      </c>
    </row>
    <row r="26" spans="1:14" x14ac:dyDescent="0.2">
      <c r="A26" s="248" t="s">
        <v>2028</v>
      </c>
      <c r="B26" s="122" t="str">
        <f>VLOOKUP($A26,NSN!$A:$B,2,FALSE)</f>
        <v>C902636</v>
      </c>
      <c r="C26" s="123" t="str">
        <f>VLOOKUP($A26,CODIGOS!$B:$E,4,FALSE)</f>
        <v>900 ML</v>
      </c>
      <c r="D26" s="124">
        <f t="shared" si="5"/>
        <v>0.4</v>
      </c>
      <c r="E26" s="124">
        <f>IF(VLOOKUP($B26,CODIGOS!$A:$F,6,0)&lt;&gt;1000,(($F26*$I$3)/VLOOKUP($B26,CODIGOS!$A:$F,6,0)),"")</f>
        <v>0.44444444444444442</v>
      </c>
      <c r="F26" s="509">
        <v>5</v>
      </c>
      <c r="G26" s="135">
        <f>(F26/1000)*VLOOKUP($B26,CODIGOS!$A:$G,7,0)</f>
        <v>5.0000000000000001E-3</v>
      </c>
      <c r="H26" s="24">
        <f>VLOOKUP($A26,CODIGOS!$B:$D,2,FALSE)</f>
        <v>1500</v>
      </c>
      <c r="I26" s="147">
        <f t="shared" si="6"/>
        <v>8.3333333333333321</v>
      </c>
      <c r="J26" s="53">
        <f t="shared" si="7"/>
        <v>666.66666666666663</v>
      </c>
      <c r="K26" s="131">
        <f>VLOOKUP($B26,CODIGOS!$A:$K,8,0)*$G26*1000</f>
        <v>44.2</v>
      </c>
      <c r="L26" s="132">
        <f>VLOOKUP($B26,CODIGOS!$A:$K,9,0)*$G26*1000</f>
        <v>0</v>
      </c>
      <c r="M26" s="132">
        <f>VLOOKUP($B26,CODIGOS!$A:$K,10,0)*$G26*1000</f>
        <v>5</v>
      </c>
      <c r="N26" s="133">
        <f>VLOOKUP($B26,CODIGOS!$A:$K,11,0)*$G26*1000</f>
        <v>0</v>
      </c>
    </row>
    <row r="27" spans="1:14" x14ac:dyDescent="0.2">
      <c r="A27" s="248" t="s">
        <v>653</v>
      </c>
      <c r="B27" s="295" t="str">
        <f>VLOOKUP($A27,NSN!$A:$B,2,FALSE)</f>
        <v>C000528</v>
      </c>
      <c r="C27" s="296" t="str">
        <f>VLOOKUP($A27,CODIGOS!$B:$E,4,FALSE)</f>
        <v>KG</v>
      </c>
      <c r="D27" s="297">
        <f t="shared" si="5"/>
        <v>0.04</v>
      </c>
      <c r="E27" s="297" t="str">
        <f>IF(VLOOKUP($B27,CODIGOS!$A:$F,6,0)&lt;&gt;1000,(($F27*$I$3)/VLOOKUP($B27,CODIGOS!$A:$F,6,0)),"")</f>
        <v/>
      </c>
      <c r="F27" s="510">
        <v>0.5</v>
      </c>
      <c r="G27" s="298">
        <f>(F27/1000)*VLOOKUP($B27,CODIGOS!$A:$G,7,0)</f>
        <v>5.0000000000000001E-4</v>
      </c>
      <c r="H27" s="299">
        <f>VLOOKUP($A27,CODIGOS!$B:$D,2,FALSE)</f>
        <v>375</v>
      </c>
      <c r="I27" s="300">
        <f t="shared" si="6"/>
        <v>0.1875</v>
      </c>
      <c r="J27" s="301">
        <f>IF(H27="S/STOCK","",IF($E27="",$D27*$H27,$E27*$H27))</f>
        <v>15</v>
      </c>
      <c r="K27" s="302">
        <f>VLOOKUP($B27,CODIGOS!$A:$K,8,0)*$G27*1000</f>
        <v>0</v>
      </c>
      <c r="L27" s="303">
        <f>VLOOKUP($B27,CODIGOS!$A:$K,9,0)*$G27*1000</f>
        <v>0</v>
      </c>
      <c r="M27" s="303">
        <f>VLOOKUP($B27,CODIGOS!$A:$K,10,0)*$G27*1000</f>
        <v>0</v>
      </c>
      <c r="N27" s="304">
        <f>VLOOKUP($B27,CODIGOS!$A:$K,11,0)*$G27*1000</f>
        <v>0</v>
      </c>
    </row>
    <row r="28" spans="1:14" x14ac:dyDescent="0.2">
      <c r="A28" s="248" t="s">
        <v>470</v>
      </c>
      <c r="B28" s="295" t="str">
        <f>VLOOKUP($A28,NSN!$A:$B,2,FALSE)</f>
        <v>V001129</v>
      </c>
      <c r="C28" s="296" t="str">
        <f>VLOOKUP($A28,CODIGOS!$B:$E,4,FALSE)</f>
        <v>500 cc</v>
      </c>
      <c r="D28" s="297">
        <f t="shared" si="5"/>
        <v>0.8</v>
      </c>
      <c r="E28" s="297">
        <f>IF(VLOOKUP($B28,CODIGOS!$A:$F,6,0)&lt;&gt;1000,(($F28*$I$3)/VLOOKUP($B28,CODIGOS!$A:$F,6,0)),"")</f>
        <v>1.6</v>
      </c>
      <c r="F28" s="510">
        <v>10</v>
      </c>
      <c r="G28" s="298">
        <f>(F28/1000)*VLOOKUP($B28,CODIGOS!$A:$G,7,0)</f>
        <v>0.01</v>
      </c>
      <c r="H28" s="299">
        <f>VLOOKUP($A28,CODIGOS!$B:$D,2,FALSE)</f>
        <v>1550</v>
      </c>
      <c r="I28" s="300">
        <f t="shared" si="6"/>
        <v>31</v>
      </c>
      <c r="J28" s="301">
        <f t="shared" si="7"/>
        <v>2480</v>
      </c>
      <c r="K28" s="302">
        <f>VLOOKUP($B28,CODIGOS!$A:$K,8,0)*$G28*1000</f>
        <v>2.5</v>
      </c>
      <c r="L28" s="303">
        <f>VLOOKUP($B28,CODIGOS!$A:$K,9,0)*$G28*1000</f>
        <v>0</v>
      </c>
      <c r="M28" s="303">
        <f>VLOOKUP($B28,CODIGOS!$A:$K,10,0)*$G28*1000</f>
        <v>0.01</v>
      </c>
      <c r="N28" s="304">
        <f>VLOOKUP($B28,CODIGOS!$A:$K,11,0)*$G28*1000</f>
        <v>9.370000000000001</v>
      </c>
    </row>
    <row r="29" spans="1:14" x14ac:dyDescent="0.2">
      <c r="A29" s="248" t="s">
        <v>432</v>
      </c>
      <c r="B29" s="122" t="str">
        <f>VLOOKUP($A29,NSN!$A:$B,2,FALSE)</f>
        <v>C000010</v>
      </c>
      <c r="C29" s="123" t="str">
        <f>VLOOKUP($A29,CODIGOS!$B:$E,4,FALSE)</f>
        <v>KG</v>
      </c>
      <c r="D29" s="124">
        <f t="shared" si="5"/>
        <v>13.6</v>
      </c>
      <c r="E29" s="124" t="str">
        <f>IF(VLOOKUP($B29,CODIGOS!$A:$F,6,0)&lt;&gt;1000,(($F29*$I$3)/VLOOKUP($B29,CODIGOS!$A:$F,6,0)),"")</f>
        <v/>
      </c>
      <c r="F29" s="509">
        <v>170</v>
      </c>
      <c r="G29" s="125">
        <f>(F29/1000)*VLOOKUP($B29,CODIGOS!$A:$G,7,0)</f>
        <v>0.12036000000000001</v>
      </c>
      <c r="H29" s="24">
        <f>VLOOKUP($A29,CODIGOS!$B:$D,2,FALSE)</f>
        <v>5890</v>
      </c>
      <c r="I29" s="24">
        <f t="shared" si="6"/>
        <v>1001.3</v>
      </c>
      <c r="J29" s="24">
        <f t="shared" si="7"/>
        <v>80104</v>
      </c>
      <c r="K29" s="125">
        <f>VLOOKUP($B29,CODIGOS!$A:$K,8,0)*$G29*1000</f>
        <v>152.85720000000003</v>
      </c>
      <c r="L29" s="125">
        <f>VLOOKUP($B29,CODIGOS!$A:$K,9,0)*$G29*1000</f>
        <v>25.51632</v>
      </c>
      <c r="M29" s="125">
        <f>VLOOKUP($B29,CODIGOS!$A:$K,10,0)*$G29*1000</f>
        <v>3.3700799999999997</v>
      </c>
      <c r="N29" s="221">
        <f>VLOOKUP($B29,CODIGOS!$A:$K,11,0)*$G29*1000</f>
        <v>5.1754799999999994</v>
      </c>
    </row>
    <row r="30" spans="1:14" x14ac:dyDescent="0.2">
      <c r="A30" s="248" t="s">
        <v>56</v>
      </c>
      <c r="B30" s="122" t="str">
        <f>VLOOKUP($A30,NSN!$A:$B,2,FALSE)</f>
        <v>C000249</v>
      </c>
      <c r="C30" s="123" t="str">
        <f>VLOOKUP($A30,CODIGOS!$B:$E,4,FALSE)</f>
        <v>KG</v>
      </c>
      <c r="D30" s="124">
        <f t="shared" si="5"/>
        <v>2.4</v>
      </c>
      <c r="E30" s="124" t="str">
        <f>IF(VLOOKUP($B30,CODIGOS!$A:$F,6,0)&lt;&gt;1000,(($F30*$I$3)/VLOOKUP($B30,CODIGOS!$A:$F,6,0)),"")</f>
        <v/>
      </c>
      <c r="F30" s="501">
        <v>30</v>
      </c>
      <c r="G30" s="135">
        <f>(F30/1000)*VLOOKUP($B30,CODIGOS!$A:$G,7,0)</f>
        <v>2.673E-2</v>
      </c>
      <c r="H30" s="24">
        <f>VLOOKUP($A30,CODIGOS!$B:$D,2,FALSE)</f>
        <v>640</v>
      </c>
      <c r="I30" s="147">
        <f t="shared" si="6"/>
        <v>19.2</v>
      </c>
      <c r="J30" s="53">
        <f t="shared" ref="J30:J38" si="8">IF(H30="S/STOCK","",IF($E30="",$D30*$H30,$E30*$H30))</f>
        <v>1536</v>
      </c>
      <c r="K30" s="131">
        <f>VLOOKUP($B30,CODIGOS!$A:$K,8,0)*$G30*1000</f>
        <v>11.4939</v>
      </c>
      <c r="L30" s="132">
        <f>VLOOKUP($B30,CODIGOS!$A:$K,9,0)*$G30*1000</f>
        <v>0.21384</v>
      </c>
      <c r="M30" s="132">
        <f>VLOOKUP($B30,CODIGOS!$A:$K,10,0)*$G30*1000</f>
        <v>5.3460000000000001E-2</v>
      </c>
      <c r="N30" s="133">
        <f>VLOOKUP($B30,CODIGOS!$A:$K,11,0)*$G30*1000</f>
        <v>2.5660799999999999</v>
      </c>
    </row>
    <row r="31" spans="1:14" x14ac:dyDescent="0.2">
      <c r="A31" s="248" t="s">
        <v>624</v>
      </c>
      <c r="B31" s="122" t="str">
        <f>VLOOKUP($A31,NSN!$A:$B,2,FALSE)</f>
        <v>C000801</v>
      </c>
      <c r="C31" s="123" t="str">
        <f>VLOOKUP($A31,CODIGOS!$B:$E,4,FALSE)</f>
        <v>KG</v>
      </c>
      <c r="D31" s="124">
        <f t="shared" si="5"/>
        <v>16</v>
      </c>
      <c r="E31" s="124" t="str">
        <f>IF(VLOOKUP($B31,CODIGOS!$A:$F,6,0)&lt;&gt;1000,(($F31*$I$3)/VLOOKUP($B31,CODIGOS!$A:$F,6,0)),"")</f>
        <v/>
      </c>
      <c r="F31" s="501">
        <v>200</v>
      </c>
      <c r="G31" s="135">
        <f>(F31/1000)*VLOOKUP($B31,CODIGOS!$A:$G,7,0)</f>
        <v>0.15740000000000001</v>
      </c>
      <c r="H31" s="24">
        <f>VLOOKUP($A31,CODIGOS!$B:$D,2,FALSE)</f>
        <v>674</v>
      </c>
      <c r="I31" s="147">
        <f t="shared" si="6"/>
        <v>134.80000000000001</v>
      </c>
      <c r="J31" s="53">
        <f t="shared" si="8"/>
        <v>10784</v>
      </c>
      <c r="K31" s="131">
        <f>VLOOKUP($B31,CODIGOS!$A:$K,8,0)*$G31*1000</f>
        <v>125.92</v>
      </c>
      <c r="L31" s="132">
        <f>VLOOKUP($B31,CODIGOS!$A:$K,9,0)*$G31*1000</f>
        <v>4.8794000000000004</v>
      </c>
      <c r="M31" s="132">
        <f>VLOOKUP($B31,CODIGOS!$A:$K,10,0)*$G31*1000</f>
        <v>0.31480000000000002</v>
      </c>
      <c r="N31" s="133">
        <f>VLOOKUP($B31,CODIGOS!$A:$K,11,0)*$G31*1000</f>
        <v>25.971000000000004</v>
      </c>
    </row>
    <row r="32" spans="1:14" x14ac:dyDescent="0.2">
      <c r="A32" s="248" t="s">
        <v>147</v>
      </c>
      <c r="B32" s="122" t="str">
        <f>VLOOKUP($A32,NSN!$A:$B,2,FALSE)</f>
        <v>V000014</v>
      </c>
      <c r="C32" s="123" t="str">
        <f>VLOOKUP($A32,CODIGOS!$B:$E,4,FALSE)</f>
        <v>NR 35 g</v>
      </c>
      <c r="D32" s="124">
        <f t="shared" si="5"/>
        <v>0.04</v>
      </c>
      <c r="E32" s="124">
        <f>IF(VLOOKUP($B32,CODIGOS!$A:$F,6,0)&lt;&gt;1000,(($F32*$I$3)/VLOOKUP($B32,CODIGOS!$A:$F,6,0)),"")</f>
        <v>1.1428571428571428</v>
      </c>
      <c r="F32" s="509">
        <v>0.5</v>
      </c>
      <c r="G32" s="125">
        <f>(F32/1000)*VLOOKUP($B32,CODIGOS!$A:$G,7,0)</f>
        <v>5.0000000000000001E-4</v>
      </c>
      <c r="H32" s="24">
        <f>VLOOKUP($A32,CODIGOS!$B:$D,2,FALSE)</f>
        <v>297</v>
      </c>
      <c r="I32" s="24">
        <f t="shared" si="6"/>
        <v>4.242857142857142</v>
      </c>
      <c r="J32" s="24">
        <f t="shared" si="8"/>
        <v>339.42857142857139</v>
      </c>
      <c r="K32" s="125">
        <f>VLOOKUP($B32,CODIGOS!$A:$K,8,0)*$G32*1000</f>
        <v>0.69499999999999995</v>
      </c>
      <c r="L32" s="125">
        <f>VLOOKUP($B32,CODIGOS!$A:$K,9,0)*$G32*1000</f>
        <v>3.3500000000000002E-2</v>
      </c>
      <c r="M32" s="125">
        <f>VLOOKUP($B32,CODIGOS!$A:$K,10,0)*$G32*1000</f>
        <v>2E-3</v>
      </c>
      <c r="N32" s="221">
        <f>VLOOKUP($B32,CODIGOS!$A:$K,11,0)*$G32*1000</f>
        <v>0.13600000000000004</v>
      </c>
    </row>
    <row r="33" spans="1:14" x14ac:dyDescent="0.2">
      <c r="A33" s="248" t="s">
        <v>38</v>
      </c>
      <c r="B33" s="122" t="str">
        <f>VLOOKUP($A33,NSN!$A:$B,2,FALSE)</f>
        <v>V000214</v>
      </c>
      <c r="C33" s="123" t="str">
        <f>VLOOKUP($A33,CODIGOS!$B:$E,4,FALSE)</f>
        <v>KG</v>
      </c>
      <c r="D33" s="124">
        <f t="shared" si="5"/>
        <v>0.04</v>
      </c>
      <c r="E33" s="124" t="str">
        <f>IF(VLOOKUP($B33,CODIGOS!$A:$F,6,0)&lt;&gt;1000,(($F33*$I$3)/VLOOKUP($B33,CODIGOS!$A:$F,6,0)),"")</f>
        <v/>
      </c>
      <c r="F33" s="501">
        <v>0.5</v>
      </c>
      <c r="G33" s="135">
        <f>(F33/1000)*VLOOKUP($B33,CODIGOS!$A:$G,7,0)</f>
        <v>5.0000000000000001E-4</v>
      </c>
      <c r="H33" s="24">
        <f>VLOOKUP($A33,CODIGOS!$B:$D,2,FALSE)</f>
        <v>7058</v>
      </c>
      <c r="I33" s="147">
        <f t="shared" si="6"/>
        <v>3.5289999999999999</v>
      </c>
      <c r="J33" s="53">
        <f t="shared" ref="J33:J36" si="9">IF(H33="S/STOCK","",IF($E33="",$D33*$H33,$E33*$H33))</f>
        <v>282.32</v>
      </c>
      <c r="K33" s="131">
        <f>VLOOKUP($B33,CODIGOS!$A:$K,8,0)*$G33*1000</f>
        <v>0.41</v>
      </c>
      <c r="L33" s="132">
        <f>VLOOKUP($B33,CODIGOS!$A:$K,9,0)*$G33*1000</f>
        <v>5.5000000000000005E-3</v>
      </c>
      <c r="M33" s="132">
        <f>VLOOKUP($B33,CODIGOS!$A:$K,10,0)*$G33*1000</f>
        <v>1.95E-2</v>
      </c>
      <c r="N33" s="133">
        <f>VLOOKUP($B33,CODIGOS!$A:$K,11,0)*$G33*1000</f>
        <v>5.3499999999999999E-2</v>
      </c>
    </row>
    <row r="34" spans="1:14" x14ac:dyDescent="0.2">
      <c r="A34" s="248" t="s">
        <v>199</v>
      </c>
      <c r="B34" s="122" t="str">
        <f>VLOOKUP($A34,NSN!$A:$B,2,FALSE)</f>
        <v>V000330</v>
      </c>
      <c r="C34" s="123" t="str">
        <f>VLOOKUP($A34,CODIGOS!$B:$E,4,FALSE)</f>
        <v>KG</v>
      </c>
      <c r="D34" s="124">
        <f t="shared" si="5"/>
        <v>0.8</v>
      </c>
      <c r="E34" s="124" t="str">
        <f>IF(VLOOKUP($B34,CODIGOS!$A:$F,6,0)&lt;&gt;1000,(($F34*$I$3)/VLOOKUP($B34,CODIGOS!$A:$F,6,0)),"")</f>
        <v/>
      </c>
      <c r="F34" s="509">
        <v>10</v>
      </c>
      <c r="G34" s="125">
        <f>(F34/1000)*VLOOKUP($B34,CODIGOS!$A:$G,7,0)</f>
        <v>9.0200000000000002E-3</v>
      </c>
      <c r="H34" s="24">
        <f>VLOOKUP($A34,CODIGOS!$B:$D,2,FALSE)</f>
        <v>1287</v>
      </c>
      <c r="I34" s="24">
        <f t="shared" si="6"/>
        <v>12.870000000000001</v>
      </c>
      <c r="J34" s="24">
        <f t="shared" si="9"/>
        <v>1029.6000000000001</v>
      </c>
      <c r="K34" s="125">
        <f>VLOOKUP($B34,CODIGOS!$A:$K,8,0)*$G34*1000</f>
        <v>7.7572000000000001</v>
      </c>
      <c r="L34" s="125">
        <f>VLOOKUP($B34,CODIGOS!$A:$K,9,0)*$G34*1000</f>
        <v>8.1180000000000002E-2</v>
      </c>
      <c r="M34" s="125">
        <f>VLOOKUP($B34,CODIGOS!$A:$K,10,0)*$G34*1000</f>
        <v>4.5100000000000008E-2</v>
      </c>
      <c r="N34" s="221">
        <f>VLOOKUP($B34,CODIGOS!$A:$K,11,0)*$G34*1000</f>
        <v>0.73062000000000005</v>
      </c>
    </row>
    <row r="35" spans="1:14" x14ac:dyDescent="0.2">
      <c r="A35" s="248" t="s">
        <v>151</v>
      </c>
      <c r="B35" s="122" t="str">
        <f>VLOOKUP($A35,NSN!$A:$B,2,FALSE)</f>
        <v>V000148</v>
      </c>
      <c r="C35" s="123" t="str">
        <f>VLOOKUP($A35,CODIGOS!$B:$E,4,FALSE)</f>
        <v>NR 50 gr</v>
      </c>
      <c r="D35" s="124">
        <f t="shared" si="5"/>
        <v>4</v>
      </c>
      <c r="E35" s="124">
        <f>IF(VLOOKUP($B35,CODIGOS!$A:$F,6,0)&lt;&gt;1000,(($F35*$I$3)/VLOOKUP($B35,CODIGOS!$A:$F,6,0)),"")</f>
        <v>80</v>
      </c>
      <c r="F35" s="501">
        <v>50</v>
      </c>
      <c r="G35" s="135">
        <f>(F35/1000)*VLOOKUP($B35,CODIGOS!$A:$G,7,0)</f>
        <v>0.05</v>
      </c>
      <c r="H35" s="24">
        <f>VLOOKUP($A35,CODIGOS!$B:$D,2,FALSE)</f>
        <v>253</v>
      </c>
      <c r="I35" s="147">
        <f t="shared" si="6"/>
        <v>253</v>
      </c>
      <c r="J35" s="53">
        <f t="shared" ref="J35" si="10">IF(H35="S/STOCK","",IF($E35="",$D35*$H35,$E35*$H35))</f>
        <v>20240</v>
      </c>
      <c r="K35" s="131">
        <f>VLOOKUP($B35,CODIGOS!$A:$K,8,0)*$G35*1000</f>
        <v>80.000000000000014</v>
      </c>
      <c r="L35" s="132">
        <f>VLOOKUP($B35,CODIGOS!$A:$K,9,0)*$G35*1000</f>
        <v>6.7500000000000009</v>
      </c>
      <c r="M35" s="132">
        <f>VLOOKUP($B35,CODIGOS!$A:$K,10,0)*$G35*1000</f>
        <v>5.0000000000000009</v>
      </c>
      <c r="N35" s="133">
        <f>VLOOKUP($B35,CODIGOS!$A:$K,11,0)*$G35*1000</f>
        <v>0.2</v>
      </c>
    </row>
    <row r="36" spans="1:14" x14ac:dyDescent="0.2">
      <c r="A36" s="248" t="s">
        <v>14</v>
      </c>
      <c r="B36" s="122" t="str">
        <f>VLOOKUP($A36,NSN!$A:$B,2,FALSE)</f>
        <v>V000231</v>
      </c>
      <c r="C36" s="123" t="str">
        <f>VLOOKUP($A36,CODIGOS!$B:$E,4,FALSE)</f>
        <v>NR 200 gr</v>
      </c>
      <c r="D36" s="124">
        <f t="shared" si="5"/>
        <v>0.16</v>
      </c>
      <c r="E36" s="124">
        <f>IF(VLOOKUP($B36,CODIGOS!$A:$F,6,0)&lt;&gt;1000,(($F36*$I$3)/VLOOKUP($B36,CODIGOS!$A:$F,6,0)),"")</f>
        <v>0.8</v>
      </c>
      <c r="F36" s="501">
        <v>2</v>
      </c>
      <c r="G36" s="135">
        <f>(F36/1000)*VLOOKUP($B36,CODIGOS!$A:$G,7,0)</f>
        <v>1.7540000000000001E-3</v>
      </c>
      <c r="H36" s="24">
        <f>VLOOKUP($A36,CODIGOS!$B:$D,2,FALSE)</f>
        <v>774</v>
      </c>
      <c r="I36" s="147">
        <f t="shared" si="6"/>
        <v>7.74</v>
      </c>
      <c r="J36" s="53">
        <f t="shared" si="9"/>
        <v>619.20000000000005</v>
      </c>
      <c r="K36" s="131">
        <f>VLOOKUP($B36,CODIGOS!$A:$K,8,0)*$G36*1000</f>
        <v>1.0348600000000001</v>
      </c>
      <c r="L36" s="132">
        <f>VLOOKUP($B36,CODIGOS!$A:$K,9,0)*$G36*1000</f>
        <v>5.4374000000000006E-2</v>
      </c>
      <c r="M36" s="132">
        <f>VLOOKUP($B36,CODIGOS!$A:$K,10,0)*$G36*1000</f>
        <v>1.0524E-2</v>
      </c>
      <c r="N36" s="133">
        <f>VLOOKUP($B36,CODIGOS!$A:$K,11,0)*$G36*1000</f>
        <v>0.18066200000000002</v>
      </c>
    </row>
    <row r="37" spans="1:14" x14ac:dyDescent="0.2">
      <c r="A37" s="248" t="s">
        <v>653</v>
      </c>
      <c r="B37" s="122" t="str">
        <f>VLOOKUP($A37,NSN!$A:$B,2,FALSE)</f>
        <v>C000528</v>
      </c>
      <c r="C37" s="123" t="str">
        <f>VLOOKUP($A37,CODIGOS!$B:$E,4,FALSE)</f>
        <v>KG</v>
      </c>
      <c r="D37" s="124">
        <f t="shared" si="5"/>
        <v>0.04</v>
      </c>
      <c r="E37" s="124" t="str">
        <f>IF(VLOOKUP($B37,CODIGOS!$A:$F,6,0)&lt;&gt;1000,(($F37*$I$3)/VLOOKUP($B37,CODIGOS!$A:$F,6,0)),"")</f>
        <v/>
      </c>
      <c r="F37" s="501">
        <v>0.5</v>
      </c>
      <c r="G37" s="135">
        <f>(F37/1000)*VLOOKUP($B37,CODIGOS!$A:$G,7,0)</f>
        <v>5.0000000000000001E-4</v>
      </c>
      <c r="H37" s="24">
        <f>VLOOKUP($A37,CODIGOS!$B:$D,2,FALSE)</f>
        <v>375</v>
      </c>
      <c r="I37" s="147">
        <f t="shared" si="6"/>
        <v>0.1875</v>
      </c>
      <c r="J37" s="53">
        <f t="shared" si="8"/>
        <v>15</v>
      </c>
      <c r="K37" s="131">
        <f>VLOOKUP($B37,CODIGOS!$A:$K,8,0)*$G37*1000</f>
        <v>0</v>
      </c>
      <c r="L37" s="132">
        <f>VLOOKUP($B37,CODIGOS!$A:$K,9,0)*$G37*1000</f>
        <v>0</v>
      </c>
      <c r="M37" s="132">
        <f>VLOOKUP($B37,CODIGOS!$A:$K,10,0)*$G37*1000</f>
        <v>0</v>
      </c>
      <c r="N37" s="133">
        <f>VLOOKUP($B37,CODIGOS!$A:$K,11,0)*$G37*1000</f>
        <v>0</v>
      </c>
    </row>
    <row r="38" spans="1:14" x14ac:dyDescent="0.2">
      <c r="A38" s="248" t="s">
        <v>2028</v>
      </c>
      <c r="B38" s="122" t="str">
        <f>VLOOKUP($A38,NSN!$A:$B,2,FALSE)</f>
        <v>C902636</v>
      </c>
      <c r="C38" s="123" t="str">
        <f>VLOOKUP($A38,CODIGOS!$B:$E,4,FALSE)</f>
        <v>900 ML</v>
      </c>
      <c r="D38" s="124">
        <f t="shared" si="5"/>
        <v>0.4</v>
      </c>
      <c r="E38" s="124">
        <f>IF(VLOOKUP($B38,CODIGOS!$A:$F,6,0)&lt;&gt;1000,(($F38*$I$3)/VLOOKUP($B38,CODIGOS!$A:$F,6,0)),"")</f>
        <v>0.44444444444444442</v>
      </c>
      <c r="F38" s="501">
        <v>5</v>
      </c>
      <c r="G38" s="135">
        <f>(F38/1000)*VLOOKUP($B38,CODIGOS!$A:$G,7,0)</f>
        <v>5.0000000000000001E-3</v>
      </c>
      <c r="H38" s="24">
        <f>VLOOKUP($A38,CODIGOS!$B:$D,2,FALSE)</f>
        <v>1500</v>
      </c>
      <c r="I38" s="147">
        <f t="shared" si="6"/>
        <v>8.3333333333333321</v>
      </c>
      <c r="J38" s="53">
        <f t="shared" si="8"/>
        <v>666.66666666666663</v>
      </c>
      <c r="K38" s="131">
        <f>VLOOKUP($B38,CODIGOS!$A:$K,8,0)*$G38*1000</f>
        <v>44.2</v>
      </c>
      <c r="L38" s="132">
        <f>VLOOKUP($B38,CODIGOS!$A:$K,9,0)*$G38*1000</f>
        <v>0</v>
      </c>
      <c r="M38" s="132">
        <f>VLOOKUP($B38,CODIGOS!$A:$K,10,0)*$G38*1000</f>
        <v>5</v>
      </c>
      <c r="N38" s="133">
        <f>VLOOKUP($B38,CODIGOS!$A:$K,11,0)*$G38*1000</f>
        <v>0</v>
      </c>
    </row>
    <row r="39" spans="1:14" ht="13.5" thickBot="1" x14ac:dyDescent="0.25">
      <c r="A39" s="248" t="s">
        <v>316</v>
      </c>
      <c r="B39" s="148" t="str">
        <f>VLOOKUP($A39,NSN!$A:$B,2,FALSE)</f>
        <v>C902849</v>
      </c>
      <c r="C39" s="149" t="str">
        <f>VLOOKUP($A39,CODIGOS!$B:$E,4,FALSE)</f>
        <v>KG</v>
      </c>
      <c r="D39" s="150">
        <f t="shared" si="5"/>
        <v>1.6</v>
      </c>
      <c r="E39" s="150" t="str">
        <f>IF(VLOOKUP($B39,CODIGOS!$A:$F,6,0)&lt;&gt;1000,(($F39*$I$3)/VLOOKUP($B39,CODIGOS!$A:$F,6,0)),"")</f>
        <v/>
      </c>
      <c r="F39" s="502">
        <v>20</v>
      </c>
      <c r="G39" s="242">
        <f>(F39/1000)*VLOOKUP($B39,CODIGOS!$A:$G,7,0)</f>
        <v>0.02</v>
      </c>
      <c r="H39" s="222">
        <f>VLOOKUP($A39,CODIGOS!$B:$D,2,FALSE)</f>
        <v>2655</v>
      </c>
      <c r="I39" s="243">
        <f t="shared" si="6"/>
        <v>53.1</v>
      </c>
      <c r="J39" s="229">
        <f t="shared" si="7"/>
        <v>4248</v>
      </c>
      <c r="K39" s="238">
        <f>VLOOKUP($B39,CODIGOS!$A:$K,8,0)*$G39*1000</f>
        <v>74.800000000000011</v>
      </c>
      <c r="L39" s="230">
        <f>VLOOKUP($B39,CODIGOS!$A:$K,9,0)*$G39*1000</f>
        <v>0.5</v>
      </c>
      <c r="M39" s="230">
        <f>VLOOKUP($B39,CODIGOS!$A:$K,10,0)*$G39*1000</f>
        <v>0.44000000000000006</v>
      </c>
      <c r="N39" s="231">
        <f>VLOOKUP($B39,CODIGOS!$A:$K,11,0)*$G39*1000</f>
        <v>17.2</v>
      </c>
    </row>
    <row r="40" spans="1:14" ht="13.5" thickBot="1" x14ac:dyDescent="0.25">
      <c r="A40" s="17" t="s">
        <v>627</v>
      </c>
      <c r="B40" s="33"/>
      <c r="C40" s="18"/>
      <c r="D40" s="126"/>
      <c r="E40" s="126"/>
      <c r="F40" s="211"/>
      <c r="G40" s="19"/>
      <c r="H40" s="41"/>
      <c r="I40" s="249">
        <f t="shared" ref="I40:N40" si="11">SUM(I22:I39)</f>
        <v>1757.3702930402928</v>
      </c>
      <c r="J40" s="250">
        <f t="shared" si="11"/>
        <v>140589.62344322345</v>
      </c>
      <c r="K40" s="251">
        <f t="shared" si="11"/>
        <v>795.77376000000004</v>
      </c>
      <c r="L40" s="251">
        <f t="shared" si="11"/>
        <v>43.244194</v>
      </c>
      <c r="M40" s="251">
        <f t="shared" si="11"/>
        <v>21.478424000000004</v>
      </c>
      <c r="N40" s="252">
        <f t="shared" si="11"/>
        <v>99.540621999999999</v>
      </c>
    </row>
    <row r="41" spans="1:14" ht="13.5" thickBot="1" x14ac:dyDescent="0.25">
      <c r="A41" s="106" t="s">
        <v>23</v>
      </c>
      <c r="B41" s="107"/>
      <c r="C41" s="107"/>
      <c r="D41" s="107"/>
      <c r="E41" s="107"/>
      <c r="F41" s="212"/>
      <c r="G41" s="107"/>
      <c r="H41" s="107"/>
      <c r="I41" s="107"/>
      <c r="J41" s="107"/>
      <c r="K41" s="107"/>
      <c r="L41" s="107"/>
      <c r="M41" s="107"/>
      <c r="N41" s="108"/>
    </row>
    <row r="42" spans="1:14" x14ac:dyDescent="0.2">
      <c r="A42" s="248" t="s">
        <v>72</v>
      </c>
      <c r="B42" s="141" t="str">
        <f>VLOOKUP($A42,NSN!$A:$B,2,FALSE)</f>
        <v>C902859</v>
      </c>
      <c r="C42" s="142" t="str">
        <f>VLOOKUP($A42,CODIGOS!$B:$E,4,FALSE)</f>
        <v>KG</v>
      </c>
      <c r="D42" s="143">
        <f t="shared" ref="D42:D56" si="12">($F42*$I$3)/1000</f>
        <v>0.48</v>
      </c>
      <c r="E42" s="143" t="str">
        <f>IF(VLOOKUP($B42,CODIGOS!$A:$F,6,0)&lt;&gt;1000,(($F42*$I$3)/VLOOKUP($B42,CODIGOS!$A:$F,6,0)),"")</f>
        <v/>
      </c>
      <c r="F42" s="207">
        <v>6</v>
      </c>
      <c r="G42" s="144">
        <f>(F42/1000)*VLOOKUP($B42,CODIGOS!$A:$G,7,0)</f>
        <v>6.0000000000000001E-3</v>
      </c>
      <c r="H42" s="25">
        <f>VLOOKUP($A42,CODIGOS!$B:$D,2,FALSE)</f>
        <v>2986</v>
      </c>
      <c r="I42" s="25">
        <f t="shared" ref="I42:I56" si="13">IF($H42="S/STOCK","",$J42/$I$3)</f>
        <v>17.916</v>
      </c>
      <c r="J42" s="25">
        <f t="shared" ref="J42:J56" si="14">IF(H42="S/STOCK","",IF($E42="",$D42*$H42,$E42*$H42))</f>
        <v>1433.28</v>
      </c>
      <c r="K42" s="144">
        <f>VLOOKUP($B42,CODIGOS!$A:$K,8,0)*$G42*1000</f>
        <v>21.54</v>
      </c>
      <c r="L42" s="144">
        <f>VLOOKUP($B42,CODIGOS!$A:$K,9,0)*$G42*1000</f>
        <v>0</v>
      </c>
      <c r="M42" s="144">
        <f>VLOOKUP($B42,CODIGOS!$A:$K,10,0)*$G42*1000</f>
        <v>0</v>
      </c>
      <c r="N42" s="220">
        <f>VLOOKUP($B42,CODIGOS!$A:$K,11,0)*$G42*1000</f>
        <v>5.3759999999999994</v>
      </c>
    </row>
    <row r="43" spans="1:14" x14ac:dyDescent="0.2">
      <c r="A43" s="248" t="s">
        <v>13</v>
      </c>
      <c r="B43" s="122" t="str">
        <f>VLOOKUP($A43,NSN!$A:$B,2,FALSE)</f>
        <v>V000415</v>
      </c>
      <c r="C43" s="123" t="str">
        <f>VLOOKUP($A43,CODIGOS!$B:$E,4,FALSE)</f>
        <v>KG</v>
      </c>
      <c r="D43" s="124">
        <f t="shared" si="12"/>
        <v>4</v>
      </c>
      <c r="E43" s="124" t="str">
        <f>IF(VLOOKUP($B43,CODIGOS!$A:$F,6,0)&lt;&gt;1000,(($F43*$I$3)/VLOOKUP($B43,CODIGOS!$A:$F,6,0)),"")</f>
        <v/>
      </c>
      <c r="F43" s="206">
        <v>50</v>
      </c>
      <c r="G43" s="125">
        <f>(F43/1000)*VLOOKUP($B43,CODIGOS!$A:$G,7,0)</f>
        <v>0.05</v>
      </c>
      <c r="H43" s="24">
        <f>VLOOKUP($A43,CODIGOS!$B:$D,2,FALSE)</f>
        <v>1783</v>
      </c>
      <c r="I43" s="24">
        <f t="shared" si="13"/>
        <v>89.15</v>
      </c>
      <c r="J43" s="24">
        <f t="shared" si="14"/>
        <v>7132</v>
      </c>
      <c r="K43" s="125">
        <f>VLOOKUP($B43,CODIGOS!$A:$K,8,0)*$G43*1000</f>
        <v>157.5</v>
      </c>
      <c r="L43" s="125">
        <f>VLOOKUP($B43,CODIGOS!$A:$K,9,0)*$G43*1000</f>
        <v>4.0999999999999996</v>
      </c>
      <c r="M43" s="125">
        <f>VLOOKUP($B43,CODIGOS!$A:$K,10,0)*$G43*1000</f>
        <v>2</v>
      </c>
      <c r="N43" s="221">
        <f>VLOOKUP($B43,CODIGOS!$A:$K,11,0)*$G43*1000</f>
        <v>30.8</v>
      </c>
    </row>
    <row r="44" spans="1:14" x14ac:dyDescent="0.2">
      <c r="A44" s="248" t="s">
        <v>642</v>
      </c>
      <c r="B44" s="122" t="str">
        <f>VLOOKUP($A44,NSN!$A:$B,2,FALSE)</f>
        <v>C902866</v>
      </c>
      <c r="C44" s="123" t="str">
        <f>VLOOKUP($A44,CODIGOS!$B:$E,4,FALSE)</f>
        <v>KG</v>
      </c>
      <c r="D44" s="124">
        <f t="shared" si="12"/>
        <v>1</v>
      </c>
      <c r="E44" s="124" t="str">
        <f>IF(VLOOKUP($B44,CODIGOS!$A:$F,6,0)&lt;&gt;1000,(($F44*$I$3)/VLOOKUP($B44,CODIGOS!$A:$F,6,0)),"")</f>
        <v/>
      </c>
      <c r="F44" s="519">
        <v>12.5</v>
      </c>
      <c r="G44" s="125">
        <f>(F44/1000)*VLOOKUP($B44,CODIGOS!$A:$G,7,0)</f>
        <v>1.2500000000000001E-2</v>
      </c>
      <c r="H44" s="24">
        <f>VLOOKUP($A44,CODIGOS!$B:$D,2,FALSE)</f>
        <v>2570</v>
      </c>
      <c r="I44" s="24">
        <f t="shared" si="13"/>
        <v>32.125</v>
      </c>
      <c r="J44" s="24">
        <f t="shared" ref="J44" si="15">IF(H44="S/STOCK","",IF($E44="",$D44*$H44,$E44*$H44))</f>
        <v>2570</v>
      </c>
      <c r="K44" s="125">
        <f>VLOOKUP($B44,CODIGOS!$A:$K,8,0)*$G44*1000</f>
        <v>37.750000000000007</v>
      </c>
      <c r="L44" s="125">
        <f>VLOOKUP($B44,CODIGOS!$A:$K,9,0)*$G44*1000</f>
        <v>0.90000000000000024</v>
      </c>
      <c r="M44" s="125">
        <f>VLOOKUP($B44,CODIGOS!$A:$K,10,0)*$G44*1000</f>
        <v>0.26250000000000001</v>
      </c>
      <c r="N44" s="221">
        <f>VLOOKUP($B44,CODIGOS!$A:$K,11,0)*$G44*1000</f>
        <v>8</v>
      </c>
    </row>
    <row r="45" spans="1:14" x14ac:dyDescent="0.2">
      <c r="A45" s="248" t="s">
        <v>427</v>
      </c>
      <c r="B45" s="122" t="str">
        <f>VLOOKUP($A45,NSN!$A:$B,2,FALSE)</f>
        <v>C903008</v>
      </c>
      <c r="C45" s="123" t="str">
        <f>VLOOKUP($A45,CODIGOS!$B:$E,4,FALSE)</f>
        <v>KG</v>
      </c>
      <c r="D45" s="124">
        <f t="shared" si="12"/>
        <v>5.6</v>
      </c>
      <c r="E45" s="124" t="str">
        <f>IF(VLOOKUP($B45,CODIGOS!$A:$F,6,0)&lt;&gt;1000,(($F45*$I$3)/VLOOKUP($B45,CODIGOS!$A:$F,6,0)),"")</f>
        <v/>
      </c>
      <c r="F45" s="519">
        <v>70</v>
      </c>
      <c r="G45" s="125">
        <f>(F45/1000)*VLOOKUP($B45,CODIGOS!$A:$G,7,0)</f>
        <v>5.0820000000000004E-2</v>
      </c>
      <c r="H45" s="24">
        <f>VLOOKUP($A45,CODIGOS!$B:$D,2,FALSE)</f>
        <v>3055</v>
      </c>
      <c r="I45" s="24">
        <f t="shared" si="13"/>
        <v>213.85</v>
      </c>
      <c r="J45" s="24">
        <f t="shared" si="14"/>
        <v>17108</v>
      </c>
      <c r="K45" s="125">
        <f>VLOOKUP($B45,CODIGOS!$A:$K,8,0)*$G45*1000</f>
        <v>52.852800000000002</v>
      </c>
      <c r="L45" s="125">
        <f>VLOOKUP($B45,CODIGOS!$A:$K,9,0)*$G45*1000</f>
        <v>9.655800000000001</v>
      </c>
      <c r="M45" s="125">
        <f>VLOOKUP($B45,CODIGOS!$A:$K,10,0)*$G45*1000</f>
        <v>0.9655800000000001</v>
      </c>
      <c r="N45" s="221">
        <f>VLOOKUP($B45,CODIGOS!$A:$K,11,0)*$G45*1000</f>
        <v>1.42296</v>
      </c>
    </row>
    <row r="46" spans="1:14" x14ac:dyDescent="0.2">
      <c r="A46" s="248" t="s">
        <v>237</v>
      </c>
      <c r="B46" s="122" t="str">
        <f>VLOOKUP($A46,NSN!$A:$B,2,FALSE)</f>
        <v>V000079</v>
      </c>
      <c r="C46" s="123" t="str">
        <f>VLOOKUP($A46,CODIGOS!$B:$E,4,FALSE)</f>
        <v>KG</v>
      </c>
      <c r="D46" s="124">
        <f t="shared" si="12"/>
        <v>2</v>
      </c>
      <c r="E46" s="124" t="str">
        <f>IF(VLOOKUP($B46,CODIGOS!$A:$F,6,0)&lt;&gt;1000,(($F46*$I$3)/VLOOKUP($B46,CODIGOS!$A:$F,6,0)),"")</f>
        <v/>
      </c>
      <c r="F46" s="519">
        <v>25</v>
      </c>
      <c r="G46" s="125">
        <f>(F46/1000)*VLOOKUP($B46,CODIGOS!$A:$G,7,0)</f>
        <v>1.0750000000000001E-2</v>
      </c>
      <c r="H46" s="24">
        <f>VLOOKUP($A46,CODIGOS!$B:$D,2,FALSE)</f>
        <v>4372</v>
      </c>
      <c r="I46" s="24">
        <f t="shared" si="13"/>
        <v>109.3</v>
      </c>
      <c r="J46" s="24">
        <f t="shared" si="14"/>
        <v>8744</v>
      </c>
      <c r="K46" s="125">
        <f>VLOOKUP($B46,CODIGOS!$A:$K,8,0)*$G46*1000</f>
        <v>46.332499999999996</v>
      </c>
      <c r="L46" s="125">
        <f>VLOOKUP($B46,CODIGOS!$A:$K,9,0)*$G46*1000</f>
        <v>1.4405000000000001</v>
      </c>
      <c r="M46" s="125">
        <f>VLOOKUP($B46,CODIGOS!$A:$K,10,0)*$G46*1000</f>
        <v>4.1710000000000003</v>
      </c>
      <c r="N46" s="221">
        <f>VLOOKUP($B46,CODIGOS!$A:$K,11,0)*$G46*1000</f>
        <v>0.76324999999999998</v>
      </c>
    </row>
    <row r="47" spans="1:14" x14ac:dyDescent="0.2">
      <c r="A47" s="248" t="s">
        <v>1949</v>
      </c>
      <c r="B47" s="122" t="str">
        <f>VLOOKUP($A47,NSN!$A:$B,2,FALSE)</f>
        <v>C903421</v>
      </c>
      <c r="C47" s="123" t="str">
        <f>VLOOKUP($A47,CODIGOS!$B:$E,4,FALSE)</f>
        <v>KG</v>
      </c>
      <c r="D47" s="124">
        <f t="shared" si="12"/>
        <v>5.6</v>
      </c>
      <c r="E47" s="124" t="str">
        <f>IF(VLOOKUP($B47,CODIGOS!$A:$F,6,0)&lt;&gt;1000,(($F47*$I$3)/VLOOKUP($B47,CODIGOS!$A:$F,6,0)),"")</f>
        <v/>
      </c>
      <c r="F47" s="519">
        <v>70</v>
      </c>
      <c r="G47" s="125">
        <f>(F47/1000)*VLOOKUP($B47,CODIGOS!$A:$G,7,0)</f>
        <v>5.5790000000000006E-2</v>
      </c>
      <c r="H47" s="24">
        <f>VLOOKUP($A47,CODIGOS!$B:$D,2,FALSE)</f>
        <v>3990</v>
      </c>
      <c r="I47" s="24">
        <f t="shared" si="13"/>
        <v>279.3</v>
      </c>
      <c r="J47" s="24">
        <f t="shared" si="14"/>
        <v>22344</v>
      </c>
      <c r="K47" s="125">
        <f>VLOOKUP($B47,CODIGOS!$A:$K,8,0)*$G47*1000</f>
        <v>73.642800000000008</v>
      </c>
      <c r="L47" s="125">
        <f>VLOOKUP($B47,CODIGOS!$A:$K,9,0)*$G47*1000</f>
        <v>11.827480000000001</v>
      </c>
      <c r="M47" s="125">
        <f>VLOOKUP($B47,CODIGOS!$A:$K,10,0)*$G47*1000</f>
        <v>2.4547600000000007</v>
      </c>
      <c r="N47" s="221">
        <f>VLOOKUP($B47,CODIGOS!$A:$K,11,0)*$G47*1000</f>
        <v>1.0042200000000003</v>
      </c>
    </row>
    <row r="48" spans="1:14" x14ac:dyDescent="0.2">
      <c r="A48" s="248" t="s">
        <v>56</v>
      </c>
      <c r="B48" s="122" t="str">
        <f>VLOOKUP($A48,NSN!$A:$B,2,FALSE)</f>
        <v>C000249</v>
      </c>
      <c r="C48" s="123" t="str">
        <f>VLOOKUP($A48,CODIGOS!$B:$E,4,FALSE)</f>
        <v>KG</v>
      </c>
      <c r="D48" s="124">
        <f t="shared" si="12"/>
        <v>1.6</v>
      </c>
      <c r="E48" s="124" t="str">
        <f>IF(VLOOKUP($B48,CODIGOS!$A:$F,6,0)&lt;&gt;1000,(($F48*$I$3)/VLOOKUP($B48,CODIGOS!$A:$F,6,0)),"")</f>
        <v/>
      </c>
      <c r="F48" s="501">
        <v>20</v>
      </c>
      <c r="G48" s="125">
        <f>(F48/1000)*VLOOKUP($B48,CODIGOS!$A:$G,7,0)</f>
        <v>1.7819999999999999E-2</v>
      </c>
      <c r="H48" s="24">
        <f>VLOOKUP($A48,CODIGOS!$B:$D,2,FALSE)</f>
        <v>640</v>
      </c>
      <c r="I48" s="24">
        <f t="shared" si="13"/>
        <v>12.8</v>
      </c>
      <c r="J48" s="24">
        <f t="shared" si="14"/>
        <v>1024</v>
      </c>
      <c r="K48" s="125">
        <f>VLOOKUP($B48,CODIGOS!$A:$K,8,0)*$G48*1000</f>
        <v>7.6625999999999994</v>
      </c>
      <c r="L48" s="125">
        <f>VLOOKUP($B48,CODIGOS!$A:$K,9,0)*$G48*1000</f>
        <v>0.14255999999999999</v>
      </c>
      <c r="M48" s="125">
        <f>VLOOKUP($B48,CODIGOS!$A:$K,10,0)*$G48*1000</f>
        <v>3.5639999999999998E-2</v>
      </c>
      <c r="N48" s="221">
        <f>VLOOKUP($B48,CODIGOS!$A:$K,11,0)*$G48*1000</f>
        <v>1.71072</v>
      </c>
    </row>
    <row r="49" spans="1:14" x14ac:dyDescent="0.2">
      <c r="A49" s="248" t="s">
        <v>84</v>
      </c>
      <c r="B49" s="122" t="str">
        <f>VLOOKUP($A49,NSN!$A:$B,2,FALSE)</f>
        <v>V000317</v>
      </c>
      <c r="C49" s="123" t="str">
        <f>VLOOKUP($A49,CODIGOS!$B:$E,4,FALSE)</f>
        <v>KG</v>
      </c>
      <c r="D49" s="124">
        <f t="shared" si="12"/>
        <v>1.6</v>
      </c>
      <c r="E49" s="124" t="str">
        <f>IF(VLOOKUP($B49,CODIGOS!$A:$F,6,0)&lt;&gt;1000,(($F49*$I$3)/VLOOKUP($B49,CODIGOS!$A:$F,6,0)),"")</f>
        <v/>
      </c>
      <c r="F49" s="524">
        <v>20</v>
      </c>
      <c r="G49" s="125">
        <f>(F49/1000)*VLOOKUP($B49,CODIGOS!$A:$G,7,0)</f>
        <v>1.89E-2</v>
      </c>
      <c r="H49" s="24">
        <f>VLOOKUP($A49,CODIGOS!$B:$D,2,FALSE)</f>
        <v>1669</v>
      </c>
      <c r="I49" s="24">
        <f t="shared" si="13"/>
        <v>33.380000000000003</v>
      </c>
      <c r="J49" s="24">
        <f t="shared" ref="J49:J53" si="16">IF(H49="S/STOCK","",IF($E49="",$D49*$H49,$E49*$H49))</f>
        <v>2670.4</v>
      </c>
      <c r="K49" s="125">
        <f>VLOOKUP($B49,CODIGOS!$A:$K,8,0)*$G49*1000</f>
        <v>3.7800000000000002</v>
      </c>
      <c r="L49" s="125">
        <f>VLOOKUP($B49,CODIGOS!$A:$K,9,0)*$G49*1000</f>
        <v>0.15120000000000003</v>
      </c>
      <c r="M49" s="125">
        <f>VLOOKUP($B49,CODIGOS!$A:$K,10,0)*$G49*1000</f>
        <v>7.5600000000000014E-2</v>
      </c>
      <c r="N49" s="221">
        <f>VLOOKUP($B49,CODIGOS!$A:$K,11,0)*$G49*1000</f>
        <v>0.60480000000000012</v>
      </c>
    </row>
    <row r="50" spans="1:14" x14ac:dyDescent="0.2">
      <c r="A50" s="248" t="s">
        <v>147</v>
      </c>
      <c r="B50" s="122" t="str">
        <f>VLOOKUP($A50,NSN!$A:$B,2,FALSE)</f>
        <v>V000014</v>
      </c>
      <c r="C50" s="123" t="str">
        <f>VLOOKUP($A50,CODIGOS!$B:$E,4,FALSE)</f>
        <v>NR 35 g</v>
      </c>
      <c r="D50" s="124">
        <f t="shared" si="12"/>
        <v>0.04</v>
      </c>
      <c r="E50" s="124">
        <f>IF(VLOOKUP($B50,CODIGOS!$A:$F,6,0)&lt;&gt;1000,(($F50*$I$3)/VLOOKUP($B50,CODIGOS!$A:$F,6,0)),"")</f>
        <v>1.1428571428571428</v>
      </c>
      <c r="F50" s="519">
        <v>0.5</v>
      </c>
      <c r="G50" s="125">
        <f>(F50/1000)*VLOOKUP($B50,CODIGOS!$A:$G,7,0)</f>
        <v>5.0000000000000001E-4</v>
      </c>
      <c r="H50" s="24">
        <f>VLOOKUP($A50,CODIGOS!$B:$D,2,FALSE)</f>
        <v>297</v>
      </c>
      <c r="I50" s="24">
        <f t="shared" si="13"/>
        <v>4.242857142857142</v>
      </c>
      <c r="J50" s="24">
        <f t="shared" si="16"/>
        <v>339.42857142857139</v>
      </c>
      <c r="K50" s="125">
        <f>VLOOKUP($B50,CODIGOS!$A:$K,8,0)*$G50*1000</f>
        <v>0.69499999999999995</v>
      </c>
      <c r="L50" s="125">
        <f>VLOOKUP($B50,CODIGOS!$A:$K,9,0)*$G50*1000</f>
        <v>3.3500000000000002E-2</v>
      </c>
      <c r="M50" s="125">
        <f>VLOOKUP($B50,CODIGOS!$A:$K,10,0)*$G50*1000</f>
        <v>2E-3</v>
      </c>
      <c r="N50" s="221">
        <f>VLOOKUP($B50,CODIGOS!$A:$K,11,0)*$G50*1000</f>
        <v>0.13600000000000004</v>
      </c>
    </row>
    <row r="51" spans="1:14" x14ac:dyDescent="0.2">
      <c r="A51" s="248" t="s">
        <v>508</v>
      </c>
      <c r="B51" s="122" t="str">
        <f>VLOOKUP($A51,NSN!$A:$B,2,FALSE)</f>
        <v>V000395</v>
      </c>
      <c r="C51" s="123" t="str">
        <f>VLOOKUP($A51,CODIGOS!$B:$E,4,FALSE)</f>
        <v>KG</v>
      </c>
      <c r="D51" s="124">
        <f t="shared" si="12"/>
        <v>1.6</v>
      </c>
      <c r="E51" s="124" t="str">
        <f>IF(VLOOKUP($B51,CODIGOS!$A:$F,6,0)&lt;&gt;1000,(($F51*$I$3)/VLOOKUP($B51,CODIGOS!$A:$F,6,0)),"")</f>
        <v/>
      </c>
      <c r="F51" s="519">
        <v>20</v>
      </c>
      <c r="G51" s="125">
        <f>(F51/1000)*VLOOKUP($B51,CODIGOS!$A:$G,7,0)</f>
        <v>0.02</v>
      </c>
      <c r="H51" s="24">
        <f>VLOOKUP($A51,CODIGOS!$B:$D,2,FALSE)</f>
        <v>2390</v>
      </c>
      <c r="I51" s="24">
        <f t="shared" si="13"/>
        <v>47.8</v>
      </c>
      <c r="J51" s="24">
        <f t="shared" ref="J51" si="17">IF(H51="S/STOCK","",IF($E51="",$D51*$H51,$E51*$H51))</f>
        <v>3824</v>
      </c>
      <c r="K51" s="125">
        <f>VLOOKUP($B51,CODIGOS!$A:$K,8,0)*$G51*1000</f>
        <v>15.600000000000001</v>
      </c>
      <c r="L51" s="125">
        <f>VLOOKUP($B51,CODIGOS!$A:$K,9,0)*$G51*1000</f>
        <v>1.04</v>
      </c>
      <c r="M51" s="125">
        <f>VLOOKUP($B51,CODIGOS!$A:$K,10,0)*$G51*1000</f>
        <v>6.0000000000000005E-2</v>
      </c>
      <c r="N51" s="221">
        <f>VLOOKUP($B51,CODIGOS!$A:$K,11,0)*$G51*1000</f>
        <v>2.8600000000000008</v>
      </c>
    </row>
    <row r="52" spans="1:14" x14ac:dyDescent="0.2">
      <c r="A52" s="248" t="s">
        <v>534</v>
      </c>
      <c r="B52" s="122" t="str">
        <f>VLOOKUP($A52,NSN!$A:$B,2,FALSE)</f>
        <v>V000478</v>
      </c>
      <c r="C52" s="123" t="str">
        <f>VLOOKUP($A52,CODIGOS!$B:$E,4,FALSE)</f>
        <v>KG</v>
      </c>
      <c r="D52" s="124">
        <f t="shared" si="12"/>
        <v>0.04</v>
      </c>
      <c r="E52" s="124" t="str">
        <f>IF(VLOOKUP($B52,CODIGOS!$A:$F,6,0)&lt;&gt;1000,(($F52*$I$3)/VLOOKUP($B52,CODIGOS!$A:$F,6,0)),"")</f>
        <v/>
      </c>
      <c r="F52" s="519">
        <v>0.5</v>
      </c>
      <c r="G52" s="125">
        <f>(F52/1000)*VLOOKUP($B52,CODIGOS!$A:$G,7,0)</f>
        <v>5.0000000000000001E-4</v>
      </c>
      <c r="H52" s="24">
        <f>VLOOKUP($A52,CODIGOS!$B:$D,2,FALSE)</f>
        <v>465</v>
      </c>
      <c r="I52" s="24">
        <f t="shared" si="13"/>
        <v>0.23250000000000001</v>
      </c>
      <c r="J52" s="24">
        <f t="shared" si="16"/>
        <v>18.600000000000001</v>
      </c>
      <c r="K52" s="125">
        <f>VLOOKUP($B52,CODIGOS!$A:$K,8,0)*$G52*1000</f>
        <v>1.6250000000000002</v>
      </c>
      <c r="L52" s="125">
        <f>VLOOKUP($B52,CODIGOS!$A:$K,9,0)*$G52*1000</f>
        <v>6.3299999999999995E-2</v>
      </c>
      <c r="M52" s="125">
        <f>VLOOKUP($B52,CODIGOS!$A:$K,10,0)*$G52*1000</f>
        <v>6.9050000000000002</v>
      </c>
      <c r="N52" s="221">
        <f>VLOOKUP($B52,CODIGOS!$A:$K,11,0)*$G52*1000</f>
        <v>0.29075000000000001</v>
      </c>
    </row>
    <row r="53" spans="1:14" x14ac:dyDescent="0.2">
      <c r="A53" s="248" t="s">
        <v>11</v>
      </c>
      <c r="B53" s="122" t="str">
        <f>VLOOKUP($A53,NSN!$A:$B,2,FALSE)</f>
        <v>C002832</v>
      </c>
      <c r="C53" s="123" t="str">
        <f>VLOOKUP($A53,CODIGOS!$B:$E,4,FALSE)</f>
        <v>KG</v>
      </c>
      <c r="D53" s="124">
        <f t="shared" si="12"/>
        <v>5.6</v>
      </c>
      <c r="E53" s="124" t="str">
        <f>IF(VLOOKUP($B53,CODIGOS!$A:$F,6,0)&lt;&gt;1000,(($F53*$I$3)/VLOOKUP($B53,CODIGOS!$A:$F,6,0)),"")</f>
        <v/>
      </c>
      <c r="F53" s="501">
        <v>70</v>
      </c>
      <c r="G53" s="125">
        <f>(F53/1000)*VLOOKUP($B53,CODIGOS!$A:$G,7,0)</f>
        <v>7.0000000000000007E-2</v>
      </c>
      <c r="H53" s="24">
        <f>VLOOKUP($A53,CODIGOS!$B:$D,2,FALSE)</f>
        <v>1384</v>
      </c>
      <c r="I53" s="24">
        <f t="shared" si="13"/>
        <v>96.88</v>
      </c>
      <c r="J53" s="24">
        <f t="shared" si="16"/>
        <v>7750.4</v>
      </c>
      <c r="K53" s="125">
        <f>VLOOKUP($B53,CODIGOS!$A:$K,8,0)*$G53*1000</f>
        <v>246.40000000000003</v>
      </c>
      <c r="L53" s="125">
        <f>VLOOKUP($B53,CODIGOS!$A:$K,9,0)*$G53*1000</f>
        <v>4.4800000000000004</v>
      </c>
      <c r="M53" s="125">
        <f>VLOOKUP($B53,CODIGOS!$A:$K,10,0)*$G53*1000</f>
        <v>0.56000000000000005</v>
      </c>
      <c r="N53" s="221">
        <f>VLOOKUP($B53,CODIGOS!$A:$K,11,0)*$G53*1000</f>
        <v>55.790000000000006</v>
      </c>
    </row>
    <row r="54" spans="1:14" x14ac:dyDescent="0.2">
      <c r="A54" s="248" t="s">
        <v>2028</v>
      </c>
      <c r="B54" s="122" t="str">
        <f>VLOOKUP($A54,NSN!$A:$B,2,FALSE)</f>
        <v>C902636</v>
      </c>
      <c r="C54" s="123" t="str">
        <f>VLOOKUP($A54,CODIGOS!$B:$E,4,FALSE)</f>
        <v>900 ML</v>
      </c>
      <c r="D54" s="124">
        <f t="shared" si="12"/>
        <v>0.4</v>
      </c>
      <c r="E54" s="124">
        <f>IF(VLOOKUP($B54,CODIGOS!$A:$F,6,0)&lt;&gt;1000,(($F54*$I$3)/VLOOKUP($B54,CODIGOS!$A:$F,6,0)),"")</f>
        <v>0.44444444444444442</v>
      </c>
      <c r="F54" s="519">
        <v>5</v>
      </c>
      <c r="G54" s="125">
        <f>(F54/1000)*VLOOKUP($B54,CODIGOS!$A:$G,7,0)</f>
        <v>5.0000000000000001E-3</v>
      </c>
      <c r="H54" s="24">
        <f>VLOOKUP($A54,CODIGOS!$B:$D,2,FALSE)</f>
        <v>1500</v>
      </c>
      <c r="I54" s="24">
        <f t="shared" si="13"/>
        <v>8.3333333333333321</v>
      </c>
      <c r="J54" s="24">
        <f t="shared" ref="J54:J55" si="18">IF(H54="S/STOCK","",IF($E54="",$D54*$H54,$E54*$H54))</f>
        <v>666.66666666666663</v>
      </c>
      <c r="K54" s="125">
        <f>VLOOKUP($B54,CODIGOS!$A:$K,8,0)*$G54*1000</f>
        <v>44.2</v>
      </c>
      <c r="L54" s="125">
        <f>VLOOKUP($B54,CODIGOS!$A:$K,9,0)*$G54*1000</f>
        <v>0</v>
      </c>
      <c r="M54" s="125">
        <f>VLOOKUP($B54,CODIGOS!$A:$K,10,0)*$G54*1000</f>
        <v>5</v>
      </c>
      <c r="N54" s="221">
        <f>VLOOKUP($B54,CODIGOS!$A:$K,11,0)*$G54*1000</f>
        <v>0</v>
      </c>
    </row>
    <row r="55" spans="1:14" x14ac:dyDescent="0.2">
      <c r="A55" s="248" t="s">
        <v>653</v>
      </c>
      <c r="B55" s="122" t="str">
        <f>VLOOKUP($A55,NSN!$A:$B,2,FALSE)</f>
        <v>C000528</v>
      </c>
      <c r="C55" s="123" t="str">
        <f>VLOOKUP($A55,CODIGOS!$B:$E,4,FALSE)</f>
        <v>KG</v>
      </c>
      <c r="D55" s="124">
        <f t="shared" si="12"/>
        <v>0.04</v>
      </c>
      <c r="E55" s="124" t="str">
        <f>IF(VLOOKUP($B55,CODIGOS!$A:$F,6,0)&lt;&gt;1000,(($F55*$I$3)/VLOOKUP($B55,CODIGOS!$A:$F,6,0)),"")</f>
        <v/>
      </c>
      <c r="F55" s="501">
        <v>0.5</v>
      </c>
      <c r="G55" s="125">
        <f>(F55/1000)*VLOOKUP($B55,CODIGOS!$A:$G,7,0)</f>
        <v>5.0000000000000001E-4</v>
      </c>
      <c r="H55" s="24">
        <f>VLOOKUP($A55,CODIGOS!$B:$D,2,FALSE)</f>
        <v>375</v>
      </c>
      <c r="I55" s="24">
        <f t="shared" si="13"/>
        <v>0.1875</v>
      </c>
      <c r="J55" s="24">
        <f t="shared" si="18"/>
        <v>15</v>
      </c>
      <c r="K55" s="125">
        <f>VLOOKUP($B55,CODIGOS!$A:$K,8,0)*$G55*1000</f>
        <v>0</v>
      </c>
      <c r="L55" s="125">
        <f>VLOOKUP($B55,CODIGOS!$A:$K,9,0)*$G55*1000</f>
        <v>0</v>
      </c>
      <c r="M55" s="125">
        <f>VLOOKUP($B55,CODIGOS!$A:$K,10,0)*$G55*1000</f>
        <v>0</v>
      </c>
      <c r="N55" s="221">
        <f>VLOOKUP($B55,CODIGOS!$A:$K,11,0)*$G55*1000</f>
        <v>0</v>
      </c>
    </row>
    <row r="56" spans="1:14" ht="13.5" thickBot="1" x14ac:dyDescent="0.25">
      <c r="A56" s="248" t="s">
        <v>317</v>
      </c>
      <c r="B56" s="148" t="str">
        <f>VLOOKUP($A56,NSN!$A:$B,2,FALSE)</f>
        <v>C902854</v>
      </c>
      <c r="C56" s="149" t="str">
        <f>VLOOKUP($A56,CODIGOS!$B:$E,4,FALSE)</f>
        <v>KG</v>
      </c>
      <c r="D56" s="150">
        <f t="shared" si="12"/>
        <v>1.1200000000000001</v>
      </c>
      <c r="E56" s="150" t="str">
        <f>IF(VLOOKUP($B56,CODIGOS!$A:$F,6,0)&lt;&gt;1000,(($F56*$I$3)/VLOOKUP($B56,CODIGOS!$A:$F,6,0)),"")</f>
        <v/>
      </c>
      <c r="F56" s="502">
        <v>14</v>
      </c>
      <c r="G56" s="137">
        <f>(F56/1000)*VLOOKUP($B56,CODIGOS!$A:$G,7,0)</f>
        <v>1.4E-2</v>
      </c>
      <c r="H56" s="222">
        <f>VLOOKUP($A56,CODIGOS!$B:$D,2,FALSE)</f>
        <v>4054</v>
      </c>
      <c r="I56" s="222">
        <f t="shared" si="13"/>
        <v>56.756000000000007</v>
      </c>
      <c r="J56" s="222">
        <f t="shared" si="14"/>
        <v>4540.4800000000005</v>
      </c>
      <c r="K56" s="137">
        <f>VLOOKUP($B56,CODIGOS!$A:$K,8,0)*$G56*1000</f>
        <v>50.960000000000008</v>
      </c>
      <c r="L56" s="137">
        <f>VLOOKUP($B56,CODIGOS!$A:$K,9,0)*$G56*1000</f>
        <v>2.8840000000000003</v>
      </c>
      <c r="M56" s="137">
        <f>VLOOKUP($B56,CODIGOS!$A:$K,10,0)*$G56*1000</f>
        <v>0.16800000000000001</v>
      </c>
      <c r="N56" s="223">
        <f>VLOOKUP($B56,CODIGOS!$A:$K,11,0)*$G56*1000</f>
        <v>9.7160000000000011</v>
      </c>
    </row>
    <row r="57" spans="1:14" ht="13.5" thickBot="1" x14ac:dyDescent="0.25">
      <c r="A57" s="17" t="s">
        <v>627</v>
      </c>
      <c r="B57" s="33"/>
      <c r="C57" s="18"/>
      <c r="D57" s="126"/>
      <c r="E57" s="126"/>
      <c r="F57" s="211"/>
      <c r="G57" s="19"/>
      <c r="H57" s="41"/>
      <c r="I57" s="249">
        <f t="shared" ref="I57:N57" si="19">SUM(I42:I56)</f>
        <v>1002.2531904761904</v>
      </c>
      <c r="J57" s="250">
        <f t="shared" si="19"/>
        <v>80180.25523809524</v>
      </c>
      <c r="K57" s="251">
        <f t="shared" si="19"/>
        <v>760.54070000000002</v>
      </c>
      <c r="L57" s="251">
        <f t="shared" si="19"/>
        <v>36.718339999999998</v>
      </c>
      <c r="M57" s="251">
        <f t="shared" si="19"/>
        <v>22.660080000000001</v>
      </c>
      <c r="N57" s="252">
        <f t="shared" si="19"/>
        <v>118.47470000000001</v>
      </c>
    </row>
    <row r="58" spans="1:14" ht="13.5" thickBot="1" x14ac:dyDescent="0.25">
      <c r="A58" s="17" t="s">
        <v>627</v>
      </c>
      <c r="B58" s="17"/>
      <c r="C58" s="18"/>
      <c r="D58" s="19"/>
      <c r="E58" s="19"/>
      <c r="F58" s="213"/>
      <c r="G58" s="19"/>
      <c r="H58" s="26"/>
      <c r="I58" s="42"/>
      <c r="J58" s="42" t="s">
        <v>892</v>
      </c>
      <c r="K58" s="232">
        <f>K20+K40+K57</f>
        <v>2133.26566</v>
      </c>
      <c r="L58" s="233">
        <f>L20+L40+L57</f>
        <v>106.193654</v>
      </c>
      <c r="M58" s="233">
        <f>M20+M40+M57</f>
        <v>59.628204000000004</v>
      </c>
      <c r="N58" s="234">
        <f>N20+N40+N57</f>
        <v>301.23902199999998</v>
      </c>
    </row>
    <row r="59" spans="1:14" ht="13.5" thickBot="1" x14ac:dyDescent="0.25">
      <c r="A59" s="17" t="s">
        <v>627</v>
      </c>
      <c r="B59" s="17"/>
      <c r="C59" s="17"/>
      <c r="D59" s="19"/>
      <c r="E59" s="19"/>
      <c r="F59" s="213"/>
      <c r="G59" s="19"/>
      <c r="H59" s="19"/>
      <c r="I59" s="19"/>
      <c r="J59" s="22"/>
      <c r="K59" s="22"/>
      <c r="L59" s="17"/>
      <c r="M59" s="17"/>
      <c r="N59" s="17"/>
    </row>
    <row r="60" spans="1:14" ht="26.25" thickBot="1" x14ac:dyDescent="0.25">
      <c r="A60" s="99" t="s">
        <v>17</v>
      </c>
      <c r="B60" s="100" t="s">
        <v>94</v>
      </c>
      <c r="C60" s="101" t="s">
        <v>18</v>
      </c>
      <c r="D60" s="101" t="s">
        <v>103</v>
      </c>
      <c r="E60" s="101"/>
      <c r="F60" s="214" t="s">
        <v>891</v>
      </c>
      <c r="G60" s="101" t="s">
        <v>91</v>
      </c>
      <c r="H60" s="101" t="s">
        <v>19</v>
      </c>
      <c r="I60" s="101" t="s">
        <v>45</v>
      </c>
      <c r="J60" s="102" t="s">
        <v>20</v>
      </c>
      <c r="K60" s="102" t="s">
        <v>43</v>
      </c>
      <c r="L60" s="103" t="s">
        <v>44</v>
      </c>
      <c r="M60" s="104" t="s">
        <v>207</v>
      </c>
      <c r="N60" s="105" t="s">
        <v>208</v>
      </c>
    </row>
    <row r="61" spans="1:14" ht="13.5" thickBot="1" x14ac:dyDescent="0.25">
      <c r="A61" s="106" t="s">
        <v>216</v>
      </c>
      <c r="B61" s="107"/>
      <c r="C61" s="107"/>
      <c r="D61" s="107"/>
      <c r="E61" s="107"/>
      <c r="F61" s="212"/>
      <c r="G61" s="107"/>
      <c r="H61" s="107"/>
      <c r="I61" s="107"/>
      <c r="J61" s="107"/>
      <c r="K61" s="107"/>
      <c r="L61" s="107"/>
      <c r="M61" s="107"/>
      <c r="N61" s="108"/>
    </row>
    <row r="62" spans="1:14" x14ac:dyDescent="0.2">
      <c r="A62" s="248" t="s">
        <v>410</v>
      </c>
      <c r="B62" s="141" t="str">
        <f>VLOOKUP($A62,NSN!$A:$B,2,FALSE)</f>
        <v>C000367</v>
      </c>
      <c r="C62" s="142" t="str">
        <f>VLOOKUP($A62,CODIGOS!$B:$E,4,FALSE)</f>
        <v>KG</v>
      </c>
      <c r="D62" s="143">
        <f>($F62*$I$3)/1000</f>
        <v>11.428800000000001</v>
      </c>
      <c r="E62" s="143" t="str">
        <f>IF(VLOOKUP($B62,CODIGOS!$A:$F,6,0)&lt;&gt;1000,(($F62*$I$3)/VLOOKUP($B62,CODIGOS!$A:$F,6,0)),"")</f>
        <v/>
      </c>
      <c r="F62" s="215">
        <v>142.86000000000001</v>
      </c>
      <c r="G62" s="144">
        <f>(F62/1000)*VLOOKUP($B62,CODIGOS!$A:$G,7,0)</f>
        <v>0.14286000000000001</v>
      </c>
      <c r="H62" s="25">
        <f>VLOOKUP($A62,CODIGOS!$B:$D,2,FALSE)</f>
        <v>794</v>
      </c>
      <c r="I62" s="25">
        <f>IF($H62="S/STOCK","",$J62/$I$3)</f>
        <v>113.43084000000002</v>
      </c>
      <c r="J62" s="25">
        <f>IF(H62="S/STOCK","",IF($E62="",$D62*$H62,$E62*$H62))</f>
        <v>9074.467200000001</v>
      </c>
      <c r="K62" s="144">
        <f>VLOOKUP($B62,CODIGOS!$A:$K,8,0)*$G62*1000</f>
        <v>497.15280000000007</v>
      </c>
      <c r="L62" s="144">
        <f>VLOOKUP($B62,CODIGOS!$A:$K,9,0)*$G62*1000</f>
        <v>11.428800000000001</v>
      </c>
      <c r="M62" s="144">
        <f>VLOOKUP($B62,CODIGOS!$A:$K,10,0)*$G62*1000</f>
        <v>1.7143200000000003</v>
      </c>
      <c r="N62" s="220">
        <f>VLOOKUP($B62,CODIGOS!$A:$K,11,0)*$G62*1000</f>
        <v>109.14504000000001</v>
      </c>
    </row>
    <row r="63" spans="1:14" x14ac:dyDescent="0.2">
      <c r="A63" s="248" t="s">
        <v>394</v>
      </c>
      <c r="B63" s="122" t="str">
        <f>VLOOKUP($A63,NSN!$A:$B,2,FALSE)</f>
        <v>C000816</v>
      </c>
      <c r="C63" s="123" t="str">
        <f>VLOOKUP($A63,CODIGOS!$B:$E,4,FALSE)</f>
        <v>KG</v>
      </c>
      <c r="D63" s="124">
        <f>($F63*$I$3)/1000</f>
        <v>0.11439999999999999</v>
      </c>
      <c r="E63" s="124" t="str">
        <f>IF(VLOOKUP($B63,CODIGOS!$A:$F,6,0)&lt;&gt;1000,(($F63*$I$3)/VLOOKUP($B63,CODIGOS!$A:$F,6,0)),"")</f>
        <v/>
      </c>
      <c r="F63" s="216">
        <v>1.43</v>
      </c>
      <c r="G63" s="125">
        <f>(F63/1000)*VLOOKUP($B63,CODIGOS!$A:$G,7,0)</f>
        <v>1.4299999999999998E-3</v>
      </c>
      <c r="H63" s="24">
        <f>VLOOKUP($A63,CODIGOS!$B:$D,2,FALSE)</f>
        <v>1128</v>
      </c>
      <c r="I63" s="24">
        <f>IF($H63="S/STOCK","",$J63/$I$3)</f>
        <v>1.6130399999999998</v>
      </c>
      <c r="J63" s="24">
        <f>IF(H63="S/STOCK","",IF($E63="",$D63*$H63,$E63*$H63))</f>
        <v>129.04319999999998</v>
      </c>
      <c r="K63" s="125">
        <f>VLOOKUP($B63,CODIGOS!$A:$K,8,0)*$G63*1000</f>
        <v>5.6913999999999989</v>
      </c>
      <c r="L63" s="125">
        <f>VLOOKUP($B63,CODIGOS!$A:$K,9,0)*$G63*1000</f>
        <v>0</v>
      </c>
      <c r="M63" s="125">
        <f>VLOOKUP($B63,CODIGOS!$A:$K,10,0)*$G63*1000</f>
        <v>0</v>
      </c>
      <c r="N63" s="221">
        <f>VLOOKUP($B63,CODIGOS!$A:$K,11,0)*$G63*1000</f>
        <v>1.4228499999999997</v>
      </c>
    </row>
    <row r="64" spans="1:14" x14ac:dyDescent="0.2">
      <c r="A64" s="248" t="s">
        <v>563</v>
      </c>
      <c r="B64" s="122" t="str">
        <f>VLOOKUP($A64,NSN!$A:$B,2,FALSE)</f>
        <v>V000518</v>
      </c>
      <c r="C64" s="123" t="str">
        <f>VLOOKUP($A64,CODIGOS!$B:$E,4,FALSE)</f>
        <v>EA</v>
      </c>
      <c r="D64" s="124">
        <f>($F64*$I$3)/1000</f>
        <v>0.68559999999999999</v>
      </c>
      <c r="E64" s="124" t="str">
        <f>IF(VLOOKUP($B64,CODIGOS!$A:$F,6,0)&lt;&gt;1000,(($F64*$I$3)/VLOOKUP($B64,CODIGOS!$A:$F,6,0)),"")</f>
        <v/>
      </c>
      <c r="F64" s="216">
        <v>8.57</v>
      </c>
      <c r="G64" s="125">
        <f>(F64/1000)*VLOOKUP($B64,CODIGOS!$A:$G,7,0)</f>
        <v>8.5699999999999995E-3</v>
      </c>
      <c r="H64" s="24">
        <f>VLOOKUP($A64,CODIGOS!$B:$D,2,FALSE)</f>
        <v>3203</v>
      </c>
      <c r="I64" s="24">
        <f>IF($H64="S/STOCK","",$J64/$I$3)</f>
        <v>27.44971</v>
      </c>
      <c r="J64" s="24">
        <f>IF(H64="S/STOCK","",IF($E64="",$D64*$H64,$E64*$H64))</f>
        <v>2195.9767999999999</v>
      </c>
      <c r="K64" s="125">
        <f>VLOOKUP($B64,CODIGOS!$A:$K,8,0)*$G64*1000</f>
        <v>76.872899999999987</v>
      </c>
      <c r="L64" s="125">
        <f>VLOOKUP($B64,CODIGOS!$A:$K,9,0)*$G64*1000</f>
        <v>0</v>
      </c>
      <c r="M64" s="125">
        <f>VLOOKUP($B64,CODIGOS!$A:$K,10,0)*$G64*1000</f>
        <v>8.5442900000000002</v>
      </c>
      <c r="N64" s="221">
        <f>VLOOKUP($B64,CODIGOS!$A:$K,11,0)*$G64*1000</f>
        <v>0</v>
      </c>
    </row>
    <row r="65" spans="1:14" x14ac:dyDescent="0.2">
      <c r="A65" s="248" t="s">
        <v>266</v>
      </c>
      <c r="B65" s="122" t="str">
        <f>VLOOKUP($A65,NSN!$A:$B,2,FALSE)</f>
        <v>V000174</v>
      </c>
      <c r="C65" s="123" t="str">
        <f>VLOOKUP($A65,CODIGOS!$B:$E,4,FALSE)</f>
        <v>KG</v>
      </c>
      <c r="D65" s="124">
        <f>($F65*$I$3)/1000</f>
        <v>0.11439999999999999</v>
      </c>
      <c r="E65" s="124" t="str">
        <f>IF(VLOOKUP($B65,CODIGOS!$A:$F,6,0)&lt;&gt;1000,(($F65*$I$3)/VLOOKUP($B65,CODIGOS!$A:$F,6,0)),"")</f>
        <v/>
      </c>
      <c r="F65" s="216">
        <v>1.43</v>
      </c>
      <c r="G65" s="125">
        <f>(F65/1000)*VLOOKUP($B65,CODIGOS!$A:$G,7,0)</f>
        <v>1.4299999999999998E-3</v>
      </c>
      <c r="H65" s="24">
        <f>VLOOKUP($A65,CODIGOS!$B:$D,2,FALSE)</f>
        <v>8887</v>
      </c>
      <c r="I65" s="24">
        <f>IF($H65="S/STOCK","",$J65/$I$3)</f>
        <v>12.708409999999999</v>
      </c>
      <c r="J65" s="24">
        <f>IF(H65="S/STOCK","",IF($E65="",$D65*$H65,$E65*$H65))</f>
        <v>1016.6727999999999</v>
      </c>
      <c r="K65" s="125">
        <f>VLOOKUP($B65,CODIGOS!$A:$K,8,0)*$G65*1000</f>
        <v>6.1489999999999991</v>
      </c>
      <c r="L65" s="125">
        <f>VLOOKUP($B65,CODIGOS!$A:$K,9,0)*$G65*1000</f>
        <v>0.67209999999999992</v>
      </c>
      <c r="M65" s="125">
        <f>VLOOKUP($B65,CODIGOS!$A:$K,10,0)*$G65*1000</f>
        <v>0.10009999999999999</v>
      </c>
      <c r="N65" s="221">
        <f>VLOOKUP($B65,CODIGOS!$A:$K,11,0)*$G65*1000</f>
        <v>0.51479999999999992</v>
      </c>
    </row>
    <row r="66" spans="1:14" ht="13.5" thickBot="1" x14ac:dyDescent="0.25">
      <c r="A66" s="248" t="s">
        <v>653</v>
      </c>
      <c r="B66" s="148" t="str">
        <f>VLOOKUP($A66,NSN!$A:$B,2,FALSE)</f>
        <v>C000528</v>
      </c>
      <c r="C66" s="149" t="str">
        <f>VLOOKUP($A66,CODIGOS!$B:$E,4,FALSE)</f>
        <v>KG</v>
      </c>
      <c r="D66" s="150">
        <f>($F66*$I$3)/1000</f>
        <v>0.16</v>
      </c>
      <c r="E66" s="150" t="str">
        <f>IF(VLOOKUP($B66,CODIGOS!$A:$F,6,0)&lt;&gt;1000,(($F66*$I$3)/VLOOKUP($B66,CODIGOS!$A:$F,6,0)),"")</f>
        <v/>
      </c>
      <c r="F66" s="217">
        <v>2</v>
      </c>
      <c r="G66" s="137">
        <f>(F66/1000)*VLOOKUP($B66,CODIGOS!$A:$G,7,0)</f>
        <v>2E-3</v>
      </c>
      <c r="H66" s="222">
        <f>VLOOKUP($A66,CODIGOS!$B:$D,2,FALSE)</f>
        <v>375</v>
      </c>
      <c r="I66" s="222">
        <f>IF($H66="S/STOCK","",$J66/$I$3)</f>
        <v>0.75</v>
      </c>
      <c r="J66" s="222">
        <f>IF(H66="S/STOCK","",IF($E66="",$D66*$H66,$E66*$H66))</f>
        <v>60</v>
      </c>
      <c r="K66" s="137">
        <f>VLOOKUP($B66,CODIGOS!$A:$K,8,0)*$G66*1000</f>
        <v>0</v>
      </c>
      <c r="L66" s="137">
        <f>VLOOKUP($B66,CODIGOS!$A:$K,9,0)*$G66*1000</f>
        <v>0</v>
      </c>
      <c r="M66" s="137">
        <f>VLOOKUP($B66,CODIGOS!$A:$K,10,0)*$G66*1000</f>
        <v>0</v>
      </c>
      <c r="N66" s="223">
        <f>VLOOKUP($B66,CODIGOS!$A:$K,11,0)*$G66*1000</f>
        <v>0</v>
      </c>
    </row>
    <row r="67" spans="1:14" ht="13.5" thickBot="1" x14ac:dyDescent="0.25">
      <c r="A67" s="17" t="s">
        <v>627</v>
      </c>
      <c r="B67" s="33"/>
      <c r="C67" s="18"/>
      <c r="D67" s="126"/>
      <c r="E67" s="126"/>
      <c r="F67" s="211"/>
      <c r="G67" s="19"/>
      <c r="H67" s="41"/>
      <c r="I67" s="224">
        <f t="shared" ref="I67:N67" si="20">SUM(I62:I66)</f>
        <v>155.952</v>
      </c>
      <c r="J67" s="225">
        <f t="shared" si="20"/>
        <v>12476.160000000002</v>
      </c>
      <c r="K67" s="226">
        <f t="shared" si="20"/>
        <v>585.86610000000007</v>
      </c>
      <c r="L67" s="226">
        <f t="shared" si="20"/>
        <v>12.100900000000001</v>
      </c>
      <c r="M67" s="226">
        <f t="shared" si="20"/>
        <v>10.35871</v>
      </c>
      <c r="N67" s="227">
        <f t="shared" si="20"/>
        <v>111.08269</v>
      </c>
    </row>
    <row r="68" spans="1:14" x14ac:dyDescent="0.2">
      <c r="A68" s="37" t="s">
        <v>627</v>
      </c>
      <c r="B68" s="33"/>
      <c r="C68" s="18"/>
      <c r="D68" s="19"/>
      <c r="E68" s="19"/>
      <c r="F68" s="213"/>
      <c r="G68" s="19"/>
      <c r="H68" s="41"/>
      <c r="I68" s="39"/>
      <c r="J68" s="39"/>
      <c r="K68" s="39"/>
      <c r="L68" s="17"/>
      <c r="M68" s="17"/>
      <c r="N68" s="17"/>
    </row>
    <row r="69" spans="1:14" x14ac:dyDescent="0.2">
      <c r="A69" s="37"/>
      <c r="B69" s="37"/>
      <c r="C69" s="37"/>
      <c r="D69" s="39"/>
      <c r="E69" s="39"/>
      <c r="F69" s="39"/>
      <c r="G69" s="39"/>
      <c r="H69" s="39"/>
      <c r="I69" s="39"/>
      <c r="J69" s="39"/>
      <c r="K69" s="39"/>
      <c r="L69" s="17"/>
      <c r="M69" s="17"/>
      <c r="N69" s="17"/>
    </row>
    <row r="70" spans="1:14" x14ac:dyDescent="0.2">
      <c r="A70" s="37"/>
      <c r="B70" s="37"/>
      <c r="C70" s="37"/>
      <c r="D70" s="187"/>
      <c r="E70" s="187"/>
      <c r="F70" s="187"/>
      <c r="G70" s="39"/>
      <c r="H70" s="39"/>
      <c r="I70" s="39"/>
      <c r="J70" s="39"/>
      <c r="K70" s="39"/>
      <c r="L70" s="17"/>
      <c r="M70" s="17"/>
      <c r="N70" s="17"/>
    </row>
    <row r="71" spans="1:14" x14ac:dyDescent="0.2">
      <c r="A71" s="37"/>
      <c r="B71" s="37"/>
      <c r="C71" s="37"/>
      <c r="D71" s="187"/>
      <c r="E71" s="187"/>
      <c r="F71" s="187"/>
      <c r="G71" s="39"/>
      <c r="H71" s="39"/>
      <c r="I71" s="39"/>
      <c r="J71" s="39"/>
      <c r="K71" s="39"/>
      <c r="L71" s="17"/>
      <c r="M71" s="17"/>
      <c r="N71" s="17"/>
    </row>
    <row r="72" spans="1:14" x14ac:dyDescent="0.2">
      <c r="A72" s="37"/>
      <c r="B72" s="37"/>
      <c r="C72" s="37"/>
      <c r="D72" s="39"/>
      <c r="E72" s="39"/>
      <c r="F72" s="39"/>
      <c r="G72" s="39"/>
      <c r="H72" s="39"/>
      <c r="I72" s="39"/>
      <c r="J72" s="39"/>
      <c r="K72" s="39"/>
      <c r="L72" s="17"/>
      <c r="M72" s="17"/>
      <c r="N72" s="17"/>
    </row>
    <row r="73" spans="1:14" x14ac:dyDescent="0.2">
      <c r="A73" s="37"/>
      <c r="B73" s="37"/>
      <c r="C73" s="37"/>
      <c r="D73" s="39"/>
      <c r="E73" s="39"/>
      <c r="F73" s="39"/>
      <c r="G73" s="39"/>
      <c r="H73" s="39"/>
      <c r="I73" s="39"/>
      <c r="J73" s="39"/>
      <c r="K73" s="39"/>
      <c r="L73" s="17"/>
      <c r="M73" s="17"/>
      <c r="N73" s="17"/>
    </row>
    <row r="74" spans="1:14" x14ac:dyDescent="0.2">
      <c r="A74" s="37"/>
      <c r="B74" s="37"/>
      <c r="C74" s="37"/>
      <c r="D74" s="39"/>
      <c r="E74" s="39"/>
      <c r="F74" s="39"/>
      <c r="G74" s="39"/>
      <c r="H74" s="39"/>
      <c r="I74" s="39"/>
      <c r="J74" s="39"/>
      <c r="K74" s="39"/>
      <c r="L74" s="17"/>
      <c r="M74" s="17"/>
      <c r="N74" s="17"/>
    </row>
    <row r="75" spans="1:14" x14ac:dyDescent="0.2">
      <c r="A75" s="37"/>
      <c r="B75" s="37"/>
      <c r="C75" s="37"/>
      <c r="D75" s="39"/>
      <c r="E75" s="39"/>
      <c r="F75" s="39"/>
      <c r="G75" s="39"/>
      <c r="H75" s="39"/>
      <c r="I75" s="39"/>
      <c r="J75" s="39"/>
      <c r="K75" s="39"/>
      <c r="L75" s="17"/>
      <c r="M75" s="17"/>
      <c r="N75" s="17"/>
    </row>
    <row r="76" spans="1:14" x14ac:dyDescent="0.2">
      <c r="A76" s="37"/>
      <c r="B76" s="37"/>
      <c r="C76" s="37"/>
      <c r="D76" s="39"/>
      <c r="E76" s="39"/>
      <c r="F76" s="39"/>
      <c r="G76" s="39"/>
      <c r="H76" s="39"/>
      <c r="I76" s="39"/>
      <c r="J76" s="39"/>
      <c r="K76" s="39"/>
      <c r="L76" s="17"/>
      <c r="M76" s="17"/>
      <c r="N76" s="17"/>
    </row>
    <row r="77" spans="1:14" x14ac:dyDescent="0.2">
      <c r="A77" s="37"/>
      <c r="B77" s="37"/>
      <c r="C77" s="37"/>
      <c r="D77" s="39"/>
      <c r="E77" s="39"/>
      <c r="F77" s="39"/>
      <c r="G77" s="39"/>
      <c r="H77" s="39"/>
      <c r="I77" s="39"/>
      <c r="J77" s="39"/>
      <c r="K77" s="39"/>
      <c r="L77" s="17"/>
      <c r="M77" s="17"/>
      <c r="N77" s="17"/>
    </row>
    <row r="78" spans="1:14" x14ac:dyDescent="0.2">
      <c r="A78" s="37"/>
      <c r="B78" s="37"/>
      <c r="C78" s="37"/>
      <c r="D78" s="39"/>
      <c r="E78" s="39"/>
      <c r="F78" s="39"/>
      <c r="G78" s="39"/>
      <c r="H78" s="39"/>
      <c r="I78" s="39"/>
      <c r="J78" s="39"/>
      <c r="K78" s="39"/>
      <c r="L78" s="17"/>
      <c r="M78" s="17"/>
      <c r="N78" s="17"/>
    </row>
    <row r="79" spans="1:14" x14ac:dyDescent="0.2">
      <c r="A79" s="37"/>
      <c r="B79" s="37"/>
      <c r="C79" s="37"/>
      <c r="D79" s="39"/>
      <c r="E79" s="39"/>
      <c r="F79" s="39"/>
      <c r="G79" s="39"/>
      <c r="H79" s="39"/>
      <c r="I79" s="39"/>
      <c r="J79" s="39"/>
      <c r="K79" s="39"/>
      <c r="L79" s="17"/>
      <c r="M79" s="17"/>
      <c r="N79" s="17"/>
    </row>
    <row r="80" spans="1:14" x14ac:dyDescent="0.2">
      <c r="A80" s="37"/>
      <c r="B80" s="37"/>
      <c r="C80" s="37"/>
      <c r="D80" s="39"/>
      <c r="E80" s="39"/>
      <c r="F80" s="39"/>
      <c r="G80" s="39"/>
      <c r="H80" s="39"/>
      <c r="I80" s="39"/>
      <c r="J80" s="39"/>
      <c r="K80" s="39"/>
      <c r="L80" s="17"/>
      <c r="M80" s="17"/>
      <c r="N80" s="17"/>
    </row>
    <row r="81" spans="1:14" x14ac:dyDescent="0.2">
      <c r="A81" s="37"/>
      <c r="B81" s="37"/>
      <c r="C81" s="37"/>
      <c r="D81" s="39"/>
      <c r="E81" s="39"/>
      <c r="F81" s="39"/>
      <c r="G81" s="39"/>
      <c r="H81" s="39"/>
      <c r="I81" s="39"/>
      <c r="J81" s="39"/>
      <c r="K81" s="39"/>
      <c r="L81" s="17"/>
      <c r="M81" s="17"/>
      <c r="N81" s="17"/>
    </row>
    <row r="82" spans="1:14" x14ac:dyDescent="0.2">
      <c r="A82" s="37"/>
      <c r="B82" s="37"/>
      <c r="C82" s="37"/>
      <c r="D82" s="39"/>
      <c r="E82" s="39"/>
      <c r="F82" s="39"/>
      <c r="G82" s="39"/>
      <c r="H82" s="39"/>
      <c r="I82" s="39"/>
      <c r="J82" s="39"/>
      <c r="K82" s="39"/>
      <c r="L82" s="17"/>
      <c r="M82" s="17"/>
      <c r="N82" s="17"/>
    </row>
    <row r="83" spans="1:14" x14ac:dyDescent="0.2">
      <c r="A83" s="37"/>
      <c r="B83" s="37"/>
      <c r="C83" s="37"/>
      <c r="D83" s="39"/>
      <c r="E83" s="39"/>
      <c r="F83" s="39"/>
      <c r="G83" s="39"/>
      <c r="H83" s="39"/>
      <c r="I83" s="39"/>
      <c r="J83" s="39"/>
      <c r="K83" s="39"/>
      <c r="L83" s="17"/>
      <c r="M83" s="17"/>
      <c r="N83" s="17"/>
    </row>
    <row r="84" spans="1:14" x14ac:dyDescent="0.2">
      <c r="A84" s="37"/>
      <c r="B84" s="37"/>
      <c r="C84" s="37"/>
      <c r="D84" s="39"/>
      <c r="E84" s="39"/>
      <c r="F84" s="39"/>
      <c r="G84" s="39"/>
      <c r="H84" s="39"/>
      <c r="I84" s="39"/>
      <c r="J84" s="39"/>
      <c r="K84" s="39"/>
      <c r="L84" s="17"/>
      <c r="M84" s="17"/>
      <c r="N84" s="17"/>
    </row>
    <row r="85" spans="1:14" x14ac:dyDescent="0.2">
      <c r="A85" s="37"/>
      <c r="B85" s="37"/>
      <c r="C85" s="37"/>
      <c r="D85" s="39"/>
      <c r="E85" s="39"/>
      <c r="F85" s="39"/>
      <c r="G85" s="39"/>
      <c r="H85" s="39"/>
      <c r="I85" s="39"/>
      <c r="J85" s="39"/>
      <c r="K85" s="39"/>
      <c r="L85" s="17"/>
      <c r="M85" s="17"/>
      <c r="N85" s="17"/>
    </row>
    <row r="86" spans="1:14" x14ac:dyDescent="0.2">
      <c r="A86" s="37"/>
      <c r="B86" s="37"/>
      <c r="C86" s="37"/>
      <c r="D86" s="39"/>
      <c r="E86" s="39"/>
      <c r="F86" s="39"/>
      <c r="G86" s="39"/>
      <c r="H86" s="39"/>
      <c r="I86" s="39"/>
      <c r="J86" s="39"/>
      <c r="K86" s="39"/>
      <c r="L86" s="17"/>
      <c r="M86" s="17"/>
      <c r="N86" s="17"/>
    </row>
    <row r="87" spans="1:14" x14ac:dyDescent="0.2">
      <c r="A87" s="37"/>
      <c r="B87" s="37"/>
      <c r="C87" s="37"/>
      <c r="D87" s="39"/>
      <c r="E87" s="39"/>
      <c r="F87" s="39"/>
      <c r="G87" s="39"/>
      <c r="H87" s="39"/>
      <c r="I87" s="39"/>
      <c r="J87" s="39"/>
      <c r="K87" s="39"/>
      <c r="L87" s="17"/>
      <c r="M87" s="17"/>
      <c r="N87" s="17"/>
    </row>
  </sheetData>
  <mergeCells count="4">
    <mergeCell ref="G2:H2"/>
    <mergeCell ref="G3:H3"/>
    <mergeCell ref="A1:N1"/>
    <mergeCell ref="Q10:T10"/>
  </mergeCells>
  <phoneticPr fontId="3" type="noConversion"/>
  <conditionalFormatting sqref="A12:A19 A22:A39 A42:A56">
    <cfRule type="expression" dxfId="158" priority="139" stopIfTrue="1">
      <formula>$H12="S/STOCK"</formula>
    </cfRule>
  </conditionalFormatting>
  <conditionalFormatting sqref="A62:A66">
    <cfRule type="expression" dxfId="157" priority="136" stopIfTrue="1">
      <formula>$H62="S/STOCK"</formula>
    </cfRule>
  </conditionalFormatting>
  <conditionalFormatting sqref="A28">
    <cfRule type="expression" dxfId="156" priority="135" stopIfTrue="1">
      <formula>$H28="S/STOCK"</formula>
    </cfRule>
  </conditionalFormatting>
  <conditionalFormatting sqref="A29">
    <cfRule type="expression" dxfId="155" priority="100" stopIfTrue="1">
      <formula>$H29="S/STOCK"</formula>
    </cfRule>
  </conditionalFormatting>
  <conditionalFormatting sqref="A46">
    <cfRule type="expression" dxfId="154" priority="99" stopIfTrue="1">
      <formula>$H46="S/STOCK"</formula>
    </cfRule>
  </conditionalFormatting>
  <conditionalFormatting sqref="A46">
    <cfRule type="expression" dxfId="153" priority="98" stopIfTrue="1">
      <formula>$H46="S/STOCK"</formula>
    </cfRule>
  </conditionalFormatting>
  <conditionalFormatting sqref="A46">
    <cfRule type="expression" dxfId="152" priority="97" stopIfTrue="1">
      <formula>$H46="S/STOCK"</formula>
    </cfRule>
  </conditionalFormatting>
  <conditionalFormatting sqref="A48">
    <cfRule type="expression" dxfId="151" priority="94" stopIfTrue="1">
      <formula>$H48="S/STOCK"</formula>
    </cfRule>
  </conditionalFormatting>
  <conditionalFormatting sqref="A29">
    <cfRule type="expression" dxfId="150" priority="70" stopIfTrue="1">
      <formula>$H29="S/STOCK"</formula>
    </cfRule>
  </conditionalFormatting>
  <conditionalFormatting sqref="A29">
    <cfRule type="expression" dxfId="149" priority="69" stopIfTrue="1">
      <formula>$H29="S/STOCK"</formula>
    </cfRule>
  </conditionalFormatting>
  <conditionalFormatting sqref="A29">
    <cfRule type="expression" dxfId="148" priority="68" stopIfTrue="1">
      <formula>$H29="S/STOCK"</formula>
    </cfRule>
  </conditionalFormatting>
  <conditionalFormatting sqref="A29">
    <cfRule type="expression" dxfId="147" priority="67" stopIfTrue="1">
      <formula>$H29="S/STOCK"</formula>
    </cfRule>
  </conditionalFormatting>
  <conditionalFormatting sqref="A29">
    <cfRule type="expression" dxfId="146" priority="66" stopIfTrue="1">
      <formula>$H29="S/STOCK"</formula>
    </cfRule>
  </conditionalFormatting>
  <conditionalFormatting sqref="A26">
    <cfRule type="expression" dxfId="145" priority="35" stopIfTrue="1">
      <formula>$H26="S/STOCK"</formula>
    </cfRule>
  </conditionalFormatting>
  <conditionalFormatting sqref="A26">
    <cfRule type="expression" dxfId="144" priority="34" stopIfTrue="1">
      <formula>$H26="S/STOCK"</formula>
    </cfRule>
  </conditionalFormatting>
  <conditionalFormatting sqref="A27">
    <cfRule type="expression" dxfId="143" priority="33" stopIfTrue="1">
      <formula>$H27="S/STOCK"</formula>
    </cfRule>
  </conditionalFormatting>
  <conditionalFormatting sqref="A50">
    <cfRule type="expression" dxfId="142" priority="23" stopIfTrue="1">
      <formula>$H50="S/STOCK"</formula>
    </cfRule>
  </conditionalFormatting>
  <conditionalFormatting sqref="A50">
    <cfRule type="expression" dxfId="141" priority="22" stopIfTrue="1">
      <formula>$H50="S/STOCK"</formula>
    </cfRule>
  </conditionalFormatting>
  <conditionalFormatting sqref="A50">
    <cfRule type="expression" dxfId="140" priority="21" stopIfTrue="1">
      <formula>$H50="S/STOCK"</formula>
    </cfRule>
  </conditionalFormatting>
  <conditionalFormatting sqref="A53">
    <cfRule type="expression" dxfId="139" priority="20" stopIfTrue="1">
      <formula>$H53="S/STOCK"</formula>
    </cfRule>
  </conditionalFormatting>
  <conditionalFormatting sqref="A32">
    <cfRule type="expression" dxfId="138" priority="18" stopIfTrue="1">
      <formula>$H32="S/STOCK"</formula>
    </cfRule>
  </conditionalFormatting>
  <conditionalFormatting sqref="A32">
    <cfRule type="expression" dxfId="137" priority="17" stopIfTrue="1">
      <formula>$H32="S/STOCK"</formula>
    </cfRule>
  </conditionalFormatting>
  <conditionalFormatting sqref="A32">
    <cfRule type="expression" dxfId="136" priority="16" stopIfTrue="1">
      <formula>$H32="S/STOCK"</formula>
    </cfRule>
  </conditionalFormatting>
  <conditionalFormatting sqref="A32">
    <cfRule type="expression" dxfId="135" priority="15" stopIfTrue="1">
      <formula>$H32="S/STOCK"</formula>
    </cfRule>
  </conditionalFormatting>
  <conditionalFormatting sqref="A32">
    <cfRule type="expression" dxfId="134" priority="14" stopIfTrue="1">
      <formula>$H32="S/STOCK"</formula>
    </cfRule>
  </conditionalFormatting>
  <conditionalFormatting sqref="A32">
    <cfRule type="expression" dxfId="133" priority="13" stopIfTrue="1">
      <formula>$H32="S/STOCK"</formula>
    </cfRule>
  </conditionalFormatting>
  <conditionalFormatting sqref="A55">
    <cfRule type="expression" dxfId="132" priority="10" stopIfTrue="1">
      <formula>$H55="S/STOCK"</formula>
    </cfRule>
  </conditionalFormatting>
  <conditionalFormatting sqref="A34">
    <cfRule type="expression" dxfId="131" priority="9" stopIfTrue="1">
      <formula>$H34="S/STOCK"</formula>
    </cfRule>
  </conditionalFormatting>
  <conditionalFormatting sqref="A34">
    <cfRule type="expression" dxfId="130" priority="8" stopIfTrue="1">
      <formula>$H34="S/STOCK"</formula>
    </cfRule>
  </conditionalFormatting>
  <conditionalFormatting sqref="A34">
    <cfRule type="expression" dxfId="129" priority="7" stopIfTrue="1">
      <formula>$H34="S/STOCK"</formula>
    </cfRule>
  </conditionalFormatting>
  <conditionalFormatting sqref="A34">
    <cfRule type="expression" dxfId="128" priority="6" stopIfTrue="1">
      <formula>$H34="S/STOCK"</formula>
    </cfRule>
  </conditionalFormatting>
  <conditionalFormatting sqref="A34">
    <cfRule type="expression" dxfId="127" priority="5" stopIfTrue="1">
      <formula>$H34="S/STOCK"</formula>
    </cfRule>
  </conditionalFormatting>
  <conditionalFormatting sqref="A34">
    <cfRule type="expression" dxfId="126" priority="4" stopIfTrue="1">
      <formula>$H34="S/STOCK"</formula>
    </cfRule>
  </conditionalFormatting>
  <conditionalFormatting sqref="A51">
    <cfRule type="expression" dxfId="125" priority="3" stopIfTrue="1">
      <formula>$H51="S/STOCK"</formula>
    </cfRule>
  </conditionalFormatting>
  <conditionalFormatting sqref="A51">
    <cfRule type="expression" dxfId="124" priority="2" stopIfTrue="1">
      <formula>$H51="S/STOCK"</formula>
    </cfRule>
  </conditionalFormatting>
  <conditionalFormatting sqref="A51">
    <cfRule type="expression" dxfId="123" priority="1" stopIfTrue="1">
      <formula>$H51="S/STOCK"</formula>
    </cfRule>
  </conditionalFormatting>
  <dataValidations count="1">
    <dataValidation type="list" allowBlank="1" showInputMessage="1" showErrorMessage="1" sqref="A62:A66 A12:A19 A22:A39 A42:A56">
      <formula1>INGREDIENTES</formula1>
    </dataValidation>
  </dataValidations>
  <pageMargins left="0.25" right="0.25" top="0.75" bottom="0.75" header="0.3" footer="0.3"/>
  <pageSetup scale="40" firstPageNumber="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Y83"/>
  <sheetViews>
    <sheetView showGridLines="0" zoomScale="80" zoomScaleNormal="80" zoomScaleSheetLayoutView="80" workbookViewId="0">
      <selection sqref="A1:N1"/>
    </sheetView>
  </sheetViews>
  <sheetFormatPr baseColWidth="10" defaultColWidth="11.42578125" defaultRowHeight="13.5" customHeight="1" x14ac:dyDescent="0.2"/>
  <cols>
    <col min="1" max="1" width="39.28515625" style="28" bestFit="1" customWidth="1"/>
    <col min="2" max="3" width="14.7109375" style="28" customWidth="1"/>
    <col min="4" max="10" width="14.7109375" style="36" customWidth="1"/>
    <col min="11" max="11" width="14.7109375" style="21" customWidth="1"/>
    <col min="12" max="14" width="14.7109375" style="28" customWidth="1"/>
    <col min="15" max="15" width="6" style="28" customWidth="1"/>
    <col min="16" max="16" width="13.42578125" style="28" customWidth="1"/>
    <col min="17" max="17" width="24.28515625" style="28" bestFit="1" customWidth="1"/>
    <col min="18" max="18" width="11.42578125" style="28"/>
    <col min="19" max="19" width="12.140625" style="28" bestFit="1" customWidth="1"/>
    <col min="20" max="20" width="13.85546875" style="28" customWidth="1"/>
    <col min="21" max="21" width="12.42578125" style="28" customWidth="1"/>
    <col min="22" max="22" width="13.28515625" style="28" customWidth="1"/>
    <col min="23" max="23" width="13.7109375" style="28" customWidth="1"/>
    <col min="24" max="16384" width="11.42578125" style="28"/>
  </cols>
  <sheetData>
    <row r="1" spans="1:155" ht="20.25" customHeight="1" thickBot="1" x14ac:dyDescent="0.25">
      <c r="A1" s="586" t="s">
        <v>8</v>
      </c>
      <c r="B1" s="586"/>
      <c r="C1" s="586"/>
      <c r="D1" s="586"/>
      <c r="E1" s="586"/>
      <c r="F1" s="586"/>
      <c r="G1" s="586"/>
      <c r="H1" s="586"/>
      <c r="I1" s="586"/>
      <c r="J1" s="586"/>
      <c r="K1" s="586"/>
      <c r="L1" s="586"/>
      <c r="M1" s="586"/>
      <c r="N1" s="586"/>
      <c r="O1" s="157"/>
    </row>
    <row r="2" spans="1:155" ht="13.5" customHeight="1" x14ac:dyDescent="0.2">
      <c r="A2" s="63" t="s">
        <v>42</v>
      </c>
      <c r="B2" s="287" t="str">
        <f>'MENU COMÚN'!G6</f>
        <v>LECHE-TÉ- CAFÉ</v>
      </c>
      <c r="C2" s="280"/>
      <c r="D2" s="288" t="str">
        <f>'MENU COMÚN'!G7</f>
        <v>PAN (100 GR) C/ QUESILLO</v>
      </c>
      <c r="E2" s="288"/>
      <c r="F2" s="65"/>
      <c r="G2" s="592" t="s">
        <v>387</v>
      </c>
      <c r="H2" s="593"/>
      <c r="I2" s="218">
        <v>0</v>
      </c>
    </row>
    <row r="3" spans="1:155" ht="13.5" customHeight="1" thickBot="1" x14ac:dyDescent="0.25">
      <c r="A3" s="63" t="s">
        <v>21</v>
      </c>
      <c r="B3" s="45" t="str">
        <f>'MENU COMÚN'!G9</f>
        <v>SOPA DESHIDRATADA</v>
      </c>
      <c r="C3" s="62"/>
      <c r="D3" s="65"/>
      <c r="E3" s="65"/>
      <c r="F3" s="65"/>
      <c r="G3" s="594" t="s">
        <v>134</v>
      </c>
      <c r="H3" s="595"/>
      <c r="I3" s="219">
        <f>LUNES!$I$3</f>
        <v>80</v>
      </c>
    </row>
    <row r="4" spans="1:155" ht="13.5" customHeight="1" x14ac:dyDescent="0.2">
      <c r="A4" s="63"/>
      <c r="B4" s="260" t="str">
        <f>'MENU COMÚN'!G13</f>
        <v>POLLO A LA MOSTAZA                                                                                                                                CON FIDEOS INTEGRALES</v>
      </c>
      <c r="C4" s="261"/>
      <c r="D4" s="21"/>
      <c r="E4" s="21"/>
      <c r="F4" s="21"/>
      <c r="G4" s="21"/>
      <c r="H4" s="26"/>
      <c r="I4" s="26"/>
      <c r="J4" s="57"/>
    </row>
    <row r="5" spans="1:155" ht="13.5" customHeight="1" x14ac:dyDescent="0.2">
      <c r="A5" s="63"/>
      <c r="B5" s="260" t="str">
        <f>'MENU COMÚN'!G14</f>
        <v>JALEA NARANJA</v>
      </c>
      <c r="C5" s="62"/>
      <c r="D5" s="65"/>
      <c r="E5" s="65"/>
      <c r="F5" s="65"/>
      <c r="G5" s="65"/>
      <c r="H5" s="65"/>
      <c r="I5" s="65"/>
      <c r="J5" s="20"/>
      <c r="Q5" s="21"/>
      <c r="R5" s="189"/>
    </row>
    <row r="6" spans="1:155" ht="13.5" customHeight="1" x14ac:dyDescent="0.2">
      <c r="A6" s="63"/>
      <c r="B6" s="45"/>
      <c r="C6" s="62"/>
      <c r="D6" s="20"/>
      <c r="E6" s="20"/>
      <c r="F6" s="20"/>
      <c r="G6" s="20"/>
      <c r="H6" s="22"/>
      <c r="I6" s="22"/>
      <c r="J6" s="22"/>
    </row>
    <row r="7" spans="1:155" ht="12.75" x14ac:dyDescent="0.2">
      <c r="A7" s="63" t="s">
        <v>23</v>
      </c>
      <c r="B7" s="45" t="str">
        <f>'MENU COMÚN'!G17</f>
        <v>CREMA DESHIDRATADA</v>
      </c>
      <c r="C7" s="21"/>
      <c r="D7" s="31"/>
      <c r="E7" s="31"/>
      <c r="F7" s="31"/>
      <c r="G7" s="31"/>
      <c r="H7" s="20"/>
      <c r="I7" s="20"/>
      <c r="J7" s="22"/>
      <c r="Q7" s="169" t="s">
        <v>893</v>
      </c>
      <c r="R7" s="186"/>
    </row>
    <row r="8" spans="1:155" ht="13.5" customHeight="1" x14ac:dyDescent="0.2">
      <c r="A8" s="63"/>
      <c r="B8" s="260" t="str">
        <f>'MENU COMÚN'!G21</f>
        <v>ASADO ALEMÁN                                                                                                     CON PURÉ</v>
      </c>
      <c r="C8" s="261"/>
      <c r="D8" s="278"/>
      <c r="E8" s="278"/>
      <c r="F8" s="31"/>
      <c r="G8" s="31"/>
      <c r="H8" s="20"/>
      <c r="I8" s="20"/>
      <c r="J8" s="22"/>
      <c r="Q8" s="199">
        <f>LUNES!$Q$7</f>
        <v>0</v>
      </c>
      <c r="R8" s="168" t="s">
        <v>127</v>
      </c>
      <c r="S8" s="168" t="s">
        <v>128</v>
      </c>
      <c r="T8" s="169" t="s">
        <v>129</v>
      </c>
      <c r="U8" s="168" t="s">
        <v>130</v>
      </c>
      <c r="V8" s="168" t="s">
        <v>131</v>
      </c>
      <c r="W8" s="168" t="s">
        <v>132</v>
      </c>
      <c r="X8" s="168" t="s">
        <v>133</v>
      </c>
    </row>
    <row r="9" spans="1:155" ht="13.5" customHeight="1" thickBot="1" x14ac:dyDescent="0.25">
      <c r="A9" s="63"/>
      <c r="B9" s="260" t="str">
        <f>'MENU COMÚN'!G22</f>
        <v>FLAN DE VAINILLA</v>
      </c>
      <c r="C9" s="21"/>
      <c r="D9" s="31"/>
      <c r="E9" s="31"/>
      <c r="F9" s="31"/>
      <c r="G9" s="31"/>
      <c r="H9" s="20"/>
      <c r="I9" s="20"/>
      <c r="J9" s="22"/>
      <c r="P9" s="195">
        <f>LUNES!P9</f>
        <v>2429</v>
      </c>
      <c r="Q9" s="162" t="s">
        <v>134</v>
      </c>
      <c r="R9" s="166">
        <f>I18+I31+I50</f>
        <v>3021.2174642857144</v>
      </c>
      <c r="S9" s="158">
        <f>+$P$9+($P$9*$Q$8)</f>
        <v>2429</v>
      </c>
      <c r="T9" s="167">
        <f>+$I$3</f>
        <v>80</v>
      </c>
      <c r="U9" s="158">
        <f>$R$9*$T$9</f>
        <v>241697.39714285714</v>
      </c>
      <c r="V9" s="158">
        <f>$S$9*$T$9</f>
        <v>194320</v>
      </c>
      <c r="W9" s="161">
        <f>$V$9-$U$9</f>
        <v>-47377.397142857139</v>
      </c>
      <c r="X9" s="160">
        <f>$W$9/$V$9</f>
        <v>-0.24381122448979589</v>
      </c>
    </row>
    <row r="10" spans="1:155" s="17" customFormat="1" ht="26.25" thickBot="1" x14ac:dyDescent="0.25">
      <c r="A10" s="99" t="s">
        <v>17</v>
      </c>
      <c r="B10" s="100" t="s">
        <v>94</v>
      </c>
      <c r="C10" s="101" t="s">
        <v>18</v>
      </c>
      <c r="D10" s="101" t="s">
        <v>103</v>
      </c>
      <c r="E10" s="101"/>
      <c r="F10" s="101" t="s">
        <v>891</v>
      </c>
      <c r="G10" s="101" t="s">
        <v>91</v>
      </c>
      <c r="H10" s="101" t="s">
        <v>19</v>
      </c>
      <c r="I10" s="101" t="s">
        <v>45</v>
      </c>
      <c r="J10" s="102" t="s">
        <v>20</v>
      </c>
      <c r="K10" s="102" t="s">
        <v>43</v>
      </c>
      <c r="L10" s="103" t="s">
        <v>44</v>
      </c>
      <c r="M10" s="104" t="s">
        <v>207</v>
      </c>
      <c r="N10" s="105" t="s">
        <v>208</v>
      </c>
      <c r="O10" s="193"/>
      <c r="Q10" s="589" t="s">
        <v>29</v>
      </c>
      <c r="R10" s="590"/>
      <c r="S10" s="590"/>
      <c r="T10" s="591"/>
      <c r="U10" s="163">
        <f>SUM(U9:U9)</f>
        <v>241697.39714285714</v>
      </c>
      <c r="V10" s="163">
        <f>SUM(V9:V9)</f>
        <v>194320</v>
      </c>
      <c r="W10" s="164">
        <f>V10-U10</f>
        <v>-47377.397142857139</v>
      </c>
      <c r="X10" s="165">
        <f>W10/V10</f>
        <v>-0.24381122448979589</v>
      </c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/>
      <c r="EA10" s="37"/>
      <c r="EB10" s="37"/>
      <c r="EC10" s="37"/>
      <c r="ED10" s="37"/>
      <c r="EE10" s="37"/>
      <c r="EF10" s="37"/>
      <c r="EG10" s="37"/>
      <c r="EH10" s="37"/>
      <c r="EI10" s="37"/>
      <c r="EJ10" s="37"/>
      <c r="EK10" s="37"/>
      <c r="EL10" s="37"/>
      <c r="EM10" s="37"/>
      <c r="EN10" s="37"/>
      <c r="EO10" s="37"/>
      <c r="EP10" s="37"/>
      <c r="EQ10" s="37"/>
      <c r="ER10" s="37"/>
      <c r="ES10" s="37"/>
      <c r="ET10" s="37"/>
      <c r="EU10" s="37"/>
      <c r="EV10" s="37"/>
      <c r="EW10" s="37"/>
      <c r="EX10" s="37"/>
      <c r="EY10" s="37"/>
    </row>
    <row r="11" spans="1:155" s="17" customFormat="1" ht="13.5" customHeight="1" thickBot="1" x14ac:dyDescent="0.25">
      <c r="A11" s="106" t="s">
        <v>42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  <c r="L11" s="107"/>
      <c r="M11" s="107"/>
      <c r="N11" s="108"/>
      <c r="O11" s="32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/>
      <c r="EA11" s="37"/>
      <c r="EB11" s="37"/>
      <c r="EC11" s="37"/>
      <c r="ED11" s="37"/>
      <c r="EE11" s="37"/>
      <c r="EF11" s="37"/>
      <c r="EG11" s="37"/>
      <c r="EH11" s="37"/>
      <c r="EI11" s="37"/>
      <c r="EJ11" s="37"/>
      <c r="EK11" s="37"/>
      <c r="EL11" s="37"/>
      <c r="EM11" s="37"/>
      <c r="EN11" s="37"/>
      <c r="EO11" s="37"/>
      <c r="EP11" s="37"/>
      <c r="EQ11" s="37"/>
      <c r="ER11" s="37"/>
      <c r="ES11" s="37"/>
      <c r="ET11" s="37"/>
      <c r="EU11" s="37"/>
      <c r="EV11" s="37"/>
      <c r="EW11" s="37"/>
      <c r="EX11" s="37"/>
      <c r="EY11" s="37"/>
    </row>
    <row r="12" spans="1:155" s="17" customFormat="1" ht="13.5" customHeight="1" x14ac:dyDescent="0.2">
      <c r="A12" s="248" t="s">
        <v>412</v>
      </c>
      <c r="B12" s="141" t="str">
        <f>VLOOKUP($A12,NSN!$A:$B,2,FALSE)</f>
        <v>C903335</v>
      </c>
      <c r="C12" s="142" t="str">
        <f>VLOOKUP($A12,CODIGOS!$B:$E,4,FALSE)</f>
        <v>800 grs</v>
      </c>
      <c r="D12" s="143">
        <f t="shared" ref="D12:D17" si="0">($F12*$I$3)/1000</f>
        <v>1.6</v>
      </c>
      <c r="E12" s="143">
        <f>IF(VLOOKUP($B12,CODIGOS!$A:$F,6,0)&lt;&gt;1000,(($F12*$I$3)/VLOOKUP($B12,CODIGOS!$A:$F,6,0)),"")</f>
        <v>2</v>
      </c>
      <c r="F12" s="120">
        <v>20</v>
      </c>
      <c r="G12" s="144">
        <f>(F12/1000)*VLOOKUP($B12,CODIGOS!$A:$G,7,0)</f>
        <v>0.02</v>
      </c>
      <c r="H12" s="25">
        <f>VLOOKUP($A12,CODIGOS!$B:$D,2,FALSE)</f>
        <v>4975</v>
      </c>
      <c r="I12" s="25">
        <f t="shared" ref="I12:I17" si="1">IF($H12="S/STOCK","",$J12/$I$3)</f>
        <v>124.375</v>
      </c>
      <c r="J12" s="25">
        <f t="shared" ref="J12:J17" si="2">IF(H12="S/STOCK","",IF($E12="",$D12*$H12,$E12*$H12))</f>
        <v>9950</v>
      </c>
      <c r="K12" s="144">
        <f>VLOOKUP($B12,CODIGOS!$A:$K,8,0)*$G12*1000</f>
        <v>70.599999999999994</v>
      </c>
      <c r="L12" s="144">
        <f>VLOOKUP($B12,CODIGOS!$A:$K,9,0)*$G12*1000</f>
        <v>8.0200000000000014</v>
      </c>
      <c r="M12" s="144">
        <f>VLOOKUP($B12,CODIGOS!$A:$K,10,0)*$G12*1000</f>
        <v>0.02</v>
      </c>
      <c r="N12" s="220">
        <f>VLOOKUP($B12,CODIGOS!$A:$K,11,0)*$G12*1000</f>
        <v>9.58</v>
      </c>
      <c r="O12" s="22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/>
      <c r="EA12" s="37"/>
      <c r="EB12" s="37"/>
      <c r="EC12" s="37"/>
      <c r="ED12" s="37"/>
      <c r="EE12" s="37"/>
      <c r="EF12" s="37"/>
      <c r="EG12" s="37"/>
      <c r="EH12" s="37"/>
      <c r="EI12" s="37"/>
      <c r="EJ12" s="37"/>
      <c r="EK12" s="37"/>
      <c r="EL12" s="37"/>
      <c r="EM12" s="37"/>
      <c r="EN12" s="37"/>
      <c r="EO12" s="37"/>
      <c r="EP12" s="37"/>
      <c r="EQ12" s="37"/>
      <c r="ER12" s="37"/>
      <c r="ES12" s="37"/>
      <c r="ET12" s="37"/>
      <c r="EU12" s="37"/>
      <c r="EV12" s="37"/>
      <c r="EW12" s="37"/>
      <c r="EX12" s="37"/>
      <c r="EY12" s="37"/>
    </row>
    <row r="13" spans="1:155" s="17" customFormat="1" ht="13.5" customHeight="1" x14ac:dyDescent="0.2">
      <c r="A13" s="248" t="s">
        <v>10</v>
      </c>
      <c r="B13" s="122" t="str">
        <f>VLOOKUP($A13,NSN!$A:$B,2,FALSE)</f>
        <v>C000827</v>
      </c>
      <c r="C13" s="123" t="str">
        <f>VLOOKUP($A13,CODIGOS!$B:$E,4,FALSE)</f>
        <v>KG</v>
      </c>
      <c r="D13" s="124">
        <f t="shared" si="0"/>
        <v>0.12</v>
      </c>
      <c r="E13" s="124" t="str">
        <f>IF(VLOOKUP($B13,CODIGOS!$A:$F,6,0)&lt;&gt;1000,(($F13*$I$3)/VLOOKUP($B13,CODIGOS!$A:$F,6,0)),"")</f>
        <v/>
      </c>
      <c r="F13" s="206">
        <v>1.5</v>
      </c>
      <c r="G13" s="125">
        <f>(F13/1000)*VLOOKUP($B13,CODIGOS!$A:$G,7,0)</f>
        <v>1.5E-3</v>
      </c>
      <c r="H13" s="24">
        <f>VLOOKUP($A13,CODIGOS!$B:$D,2,FALSE)</f>
        <v>7800</v>
      </c>
      <c r="I13" s="24">
        <f t="shared" si="1"/>
        <v>11.7</v>
      </c>
      <c r="J13" s="24">
        <f t="shared" si="2"/>
        <v>936</v>
      </c>
      <c r="K13" s="125">
        <f>VLOOKUP($B13,CODIGOS!$A:$K,8,0)*$G13*1000</f>
        <v>1.5000000000000001E-2</v>
      </c>
      <c r="L13" s="125">
        <f>VLOOKUP($B13,CODIGOS!$A:$K,9,0)*$G13*1000</f>
        <v>0</v>
      </c>
      <c r="M13" s="125">
        <f>VLOOKUP($B13,CODIGOS!$A:$K,10,0)*$G13*1000</f>
        <v>0</v>
      </c>
      <c r="N13" s="221">
        <f>VLOOKUP($B13,CODIGOS!$A:$K,11,0)*$G13*1000</f>
        <v>3.0000000000000001E-3</v>
      </c>
      <c r="O13" s="22"/>
      <c r="Q13" s="23"/>
      <c r="R13" s="2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/>
      <c r="EA13" s="37"/>
      <c r="EB13" s="37"/>
      <c r="EC13" s="37"/>
      <c r="ED13" s="37"/>
      <c r="EE13" s="37"/>
      <c r="EF13" s="37"/>
      <c r="EG13" s="37"/>
      <c r="EH13" s="37"/>
      <c r="EI13" s="37"/>
      <c r="EJ13" s="37"/>
      <c r="EK13" s="37"/>
      <c r="EL13" s="37"/>
      <c r="EM13" s="37"/>
      <c r="EN13" s="37"/>
      <c r="EO13" s="37"/>
      <c r="EP13" s="37"/>
      <c r="EQ13" s="37"/>
      <c r="ER13" s="37"/>
      <c r="ES13" s="37"/>
      <c r="ET13" s="37"/>
      <c r="EU13" s="37"/>
      <c r="EV13" s="37"/>
      <c r="EW13" s="37"/>
      <c r="EX13" s="37"/>
      <c r="EY13" s="37"/>
    </row>
    <row r="14" spans="1:155" s="17" customFormat="1" ht="13.5" customHeight="1" x14ac:dyDescent="0.2">
      <c r="A14" s="248" t="s">
        <v>646</v>
      </c>
      <c r="B14" s="122" t="str">
        <f>VLOOKUP($A14,NSN!$A:$B,2,FALSE)</f>
        <v>C000523</v>
      </c>
      <c r="C14" s="123" t="str">
        <f>VLOOKUP($A14,CODIGOS!$B:$E,4,FALSE)</f>
        <v>TA 400 gr</v>
      </c>
      <c r="D14" s="124">
        <f t="shared" si="0"/>
        <v>0.08</v>
      </c>
      <c r="E14" s="124">
        <f>IF(VLOOKUP($B14,CODIGOS!$A:$F,6,0)&lt;&gt;1000,(($F14*$I$3)/VLOOKUP($B14,CODIGOS!$A:$F,6,0)),"")</f>
        <v>0.2</v>
      </c>
      <c r="F14" s="206">
        <v>1</v>
      </c>
      <c r="G14" s="125">
        <f>(F14/1000)*VLOOKUP($B14,CODIGOS!$A:$G,7,0)</f>
        <v>1E-3</v>
      </c>
      <c r="H14" s="24">
        <f>VLOOKUP($A14,CODIGOS!$B:$D,2,FALSE)</f>
        <v>9990</v>
      </c>
      <c r="I14" s="24">
        <f t="shared" si="1"/>
        <v>24.975000000000001</v>
      </c>
      <c r="J14" s="24">
        <f t="shared" si="2"/>
        <v>1998</v>
      </c>
      <c r="K14" s="125">
        <f>VLOOKUP($B14,CODIGOS!$A:$K,8,0)*$G14*1000</f>
        <v>2.61</v>
      </c>
      <c r="L14" s="125">
        <f>VLOOKUP($B14,CODIGOS!$A:$K,9,0)*$G14*1000</f>
        <v>0.16399999999999998</v>
      </c>
      <c r="M14" s="125">
        <f>VLOOKUP($B14,CODIGOS!$A:$K,10,0)*$G14*1000</f>
        <v>1E-3</v>
      </c>
      <c r="N14" s="221">
        <f>VLOOKUP($B14,CODIGOS!$A:$K,11,0)*$G14*1000</f>
        <v>0.49</v>
      </c>
      <c r="O14" s="22"/>
      <c r="Q14" s="23"/>
      <c r="R14" s="2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/>
      <c r="EA14" s="37"/>
      <c r="EB14" s="37"/>
      <c r="EC14" s="37"/>
      <c r="ED14" s="37"/>
      <c r="EE14" s="37"/>
      <c r="EF14" s="37"/>
      <c r="EG14" s="37"/>
      <c r="EH14" s="37"/>
      <c r="EI14" s="37"/>
      <c r="EJ14" s="37"/>
      <c r="EK14" s="37"/>
      <c r="EL14" s="37"/>
      <c r="EM14" s="37"/>
      <c r="EN14" s="37"/>
      <c r="EO14" s="37"/>
      <c r="EP14" s="37"/>
      <c r="EQ14" s="37"/>
      <c r="ER14" s="37"/>
      <c r="ES14" s="37"/>
      <c r="ET14" s="37"/>
      <c r="EU14" s="37"/>
      <c r="EV14" s="37"/>
      <c r="EW14" s="37"/>
      <c r="EX14" s="37"/>
      <c r="EY14" s="37"/>
    </row>
    <row r="15" spans="1:155" s="17" customFormat="1" ht="13.5" customHeight="1" x14ac:dyDescent="0.2">
      <c r="A15" s="248" t="s">
        <v>394</v>
      </c>
      <c r="B15" s="122" t="str">
        <f>VLOOKUP($A15,NSN!$A:$B,2,FALSE)</f>
        <v>C000816</v>
      </c>
      <c r="C15" s="123" t="str">
        <f>VLOOKUP($A15,CODIGOS!$B:$E,4,FALSE)</f>
        <v>KG</v>
      </c>
      <c r="D15" s="124">
        <f t="shared" si="0"/>
        <v>0.8</v>
      </c>
      <c r="E15" s="124" t="str">
        <f>IF(VLOOKUP($B15,CODIGOS!$A:$F,6,0)&lt;&gt;1000,(($F15*$I$3)/VLOOKUP($B15,CODIGOS!$A:$F,6,0)),"")</f>
        <v/>
      </c>
      <c r="F15" s="210">
        <v>10</v>
      </c>
      <c r="G15" s="125">
        <f>(F15/1000)*VLOOKUP($B15,CODIGOS!$A:$G,7,0)</f>
        <v>0.01</v>
      </c>
      <c r="H15" s="24">
        <f>VLOOKUP($A15,CODIGOS!$B:$D,2,FALSE)</f>
        <v>1128</v>
      </c>
      <c r="I15" s="24">
        <f t="shared" si="1"/>
        <v>11.280000000000001</v>
      </c>
      <c r="J15" s="24">
        <f t="shared" si="2"/>
        <v>902.40000000000009</v>
      </c>
      <c r="K15" s="125">
        <f>VLOOKUP($B15,CODIGOS!$A:$K,8,0)*$G15*1000</f>
        <v>39.800000000000004</v>
      </c>
      <c r="L15" s="125">
        <f>VLOOKUP($B15,CODIGOS!$A:$K,9,0)*$G15*1000</f>
        <v>0</v>
      </c>
      <c r="M15" s="125">
        <f>VLOOKUP($B15,CODIGOS!$A:$K,10,0)*$G15*1000</f>
        <v>0</v>
      </c>
      <c r="N15" s="221">
        <f>VLOOKUP($B15,CODIGOS!$A:$K,11,0)*$G15*1000</f>
        <v>9.9500000000000011</v>
      </c>
      <c r="O15" s="192"/>
      <c r="DN15" s="37"/>
      <c r="DO15" s="37"/>
      <c r="DP15" s="37"/>
      <c r="DQ15" s="37"/>
      <c r="DR15" s="37"/>
      <c r="DS15" s="37"/>
      <c r="DT15" s="37"/>
      <c r="DU15" s="37"/>
      <c r="DV15" s="37"/>
      <c r="DW15" s="37"/>
      <c r="DX15" s="37"/>
      <c r="DY15" s="37"/>
      <c r="DZ15" s="37"/>
      <c r="EA15" s="37"/>
      <c r="EB15" s="37"/>
      <c r="EC15" s="37"/>
      <c r="ED15" s="37"/>
      <c r="EE15" s="37"/>
      <c r="EF15" s="37"/>
      <c r="EG15" s="37"/>
      <c r="EH15" s="37"/>
      <c r="EI15" s="37"/>
      <c r="EJ15" s="37"/>
      <c r="EK15" s="37"/>
      <c r="EL15" s="37"/>
      <c r="EM15" s="37"/>
      <c r="EN15" s="37"/>
      <c r="EO15" s="37"/>
      <c r="EP15" s="37"/>
      <c r="EQ15" s="37"/>
      <c r="ER15" s="37"/>
      <c r="ES15" s="37"/>
      <c r="ET15" s="37"/>
      <c r="EU15" s="37"/>
      <c r="EV15" s="37"/>
      <c r="EW15" s="37"/>
      <c r="EX15" s="37"/>
      <c r="EY15" s="37"/>
    </row>
    <row r="16" spans="1:155" ht="13.5" customHeight="1" x14ac:dyDescent="0.2">
      <c r="A16" s="248" t="s">
        <v>158</v>
      </c>
      <c r="B16" s="122" t="str">
        <f>VLOOKUP($A16,NSN!$A:$B,2,FALSE)</f>
        <v>V000262</v>
      </c>
      <c r="C16" s="123" t="str">
        <f>VLOOKUP($A16,CODIGOS!$B:$E,4,FALSE)</f>
        <v>NR (320 g)</v>
      </c>
      <c r="D16" s="124">
        <f t="shared" si="0"/>
        <v>3.2</v>
      </c>
      <c r="E16" s="124">
        <f>IF(VLOOKUP($B16,CODIGOS!$A:$F,6,0)&lt;&gt;1000,(($F16*$I$3)/VLOOKUP($B16,CODIGOS!$A:$F,6,0)),"")</f>
        <v>10</v>
      </c>
      <c r="F16" s="501">
        <v>40</v>
      </c>
      <c r="G16" s="125">
        <f>(F16/1000)*VLOOKUP($B16,CODIGOS!$A:$G,7,0)</f>
        <v>0.04</v>
      </c>
      <c r="H16" s="24">
        <f>VLOOKUP($A16,CODIGOS!$B:$D,2,FALSE)</f>
        <v>2309</v>
      </c>
      <c r="I16" s="24">
        <f t="shared" si="1"/>
        <v>288.625</v>
      </c>
      <c r="J16" s="24">
        <f>IF(H16="S/STOCK","",IF($E16="",$D16*$H16,$E16*$H16))</f>
        <v>23090</v>
      </c>
      <c r="K16" s="125">
        <f>VLOOKUP($B16,CODIGOS!$A:$K,8,0)*$G16*1000</f>
        <v>43.2</v>
      </c>
      <c r="L16" s="125">
        <f>VLOOKUP($B16,CODIGOS!$A:$K,9,0)*$G16*1000</f>
        <v>6.5599999999999987</v>
      </c>
      <c r="M16" s="125">
        <f>VLOOKUP($B16,CODIGOS!$A:$K,10,0)*$G16*1000</f>
        <v>1.32</v>
      </c>
      <c r="N16" s="221">
        <f>VLOOKUP($B16,CODIGOS!$A:$K,11,0)*$G16*1000</f>
        <v>1.24</v>
      </c>
    </row>
    <row r="17" spans="1:14" ht="13.5" customHeight="1" thickBot="1" x14ac:dyDescent="0.25">
      <c r="A17" s="248" t="s">
        <v>13</v>
      </c>
      <c r="B17" s="148" t="str">
        <f>VLOOKUP($A17,NSN!$A:$B,2,FALSE)</f>
        <v>V000415</v>
      </c>
      <c r="C17" s="149" t="str">
        <f>VLOOKUP($A17,CODIGOS!$B:$E,4,FALSE)</f>
        <v>KG</v>
      </c>
      <c r="D17" s="150">
        <f t="shared" si="0"/>
        <v>8</v>
      </c>
      <c r="E17" s="150" t="str">
        <f>IF(VLOOKUP($B17,CODIGOS!$A:$F,6,0)&lt;&gt;1000,(($F17*$I$3)/VLOOKUP($B17,CODIGOS!$A:$F,6,0)),"")</f>
        <v/>
      </c>
      <c r="F17" s="502">
        <v>100</v>
      </c>
      <c r="G17" s="137">
        <f>(F17/1000)*VLOOKUP($B17,CODIGOS!$A:$G,7,0)</f>
        <v>0.1</v>
      </c>
      <c r="H17" s="222">
        <f>VLOOKUP($A17,CODIGOS!$B:$D,2,FALSE)</f>
        <v>1783</v>
      </c>
      <c r="I17" s="222">
        <f t="shared" si="1"/>
        <v>178.3</v>
      </c>
      <c r="J17" s="222">
        <f t="shared" si="2"/>
        <v>14264</v>
      </c>
      <c r="K17" s="137">
        <f>VLOOKUP($B17,CODIGOS!$A:$K,8,0)*$G17*1000</f>
        <v>315</v>
      </c>
      <c r="L17" s="137">
        <f>VLOOKUP($B17,CODIGOS!$A:$K,9,0)*$G17*1000</f>
        <v>8.1999999999999993</v>
      </c>
      <c r="M17" s="137">
        <f>VLOOKUP($B17,CODIGOS!$A:$K,10,0)*$G17*1000</f>
        <v>4</v>
      </c>
      <c r="N17" s="223">
        <f>VLOOKUP($B17,CODIGOS!$A:$K,11,0)*$G17*1000</f>
        <v>61.6</v>
      </c>
    </row>
    <row r="18" spans="1:14" ht="13.5" customHeight="1" thickBot="1" x14ac:dyDescent="0.25">
      <c r="A18" s="17" t="s">
        <v>627</v>
      </c>
      <c r="B18" s="33"/>
      <c r="C18" s="18"/>
      <c r="D18" s="126"/>
      <c r="E18" s="126"/>
      <c r="F18" s="211"/>
      <c r="G18" s="19"/>
      <c r="H18" s="41"/>
      <c r="I18" s="249">
        <f t="shared" ref="I18:N18" si="3">SUM(I12:I17)</f>
        <v>639.255</v>
      </c>
      <c r="J18" s="250">
        <f t="shared" si="3"/>
        <v>51140.4</v>
      </c>
      <c r="K18" s="251">
        <f t="shared" si="3"/>
        <v>471.22500000000002</v>
      </c>
      <c r="L18" s="251">
        <f t="shared" si="3"/>
        <v>22.943999999999999</v>
      </c>
      <c r="M18" s="251">
        <f t="shared" si="3"/>
        <v>5.3410000000000002</v>
      </c>
      <c r="N18" s="252">
        <f t="shared" si="3"/>
        <v>82.863</v>
      </c>
    </row>
    <row r="19" spans="1:14" ht="13.5" customHeight="1" thickBot="1" x14ac:dyDescent="0.25">
      <c r="A19" s="106" t="s">
        <v>21</v>
      </c>
      <c r="B19" s="107"/>
      <c r="C19" s="107"/>
      <c r="D19" s="107"/>
      <c r="E19" s="107"/>
      <c r="F19" s="212"/>
      <c r="G19" s="107"/>
      <c r="H19" s="107"/>
      <c r="I19" s="191"/>
      <c r="J19" s="191"/>
      <c r="K19" s="191"/>
      <c r="L19" s="191"/>
      <c r="M19" s="191"/>
      <c r="N19" s="200"/>
    </row>
    <row r="20" spans="1:14" ht="13.5" customHeight="1" x14ac:dyDescent="0.2">
      <c r="A20" s="248" t="s">
        <v>72</v>
      </c>
      <c r="B20" s="141" t="str">
        <f>VLOOKUP($A20,NSN!$A:$B,2,FALSE)</f>
        <v>C902859</v>
      </c>
      <c r="C20" s="142" t="str">
        <f>VLOOKUP($A20,CODIGOS!$B:$E,4,FALSE)</f>
        <v>KG</v>
      </c>
      <c r="D20" s="143">
        <f t="shared" ref="D20:D30" si="4">($F20*$I$3)/1000</f>
        <v>0.48</v>
      </c>
      <c r="E20" s="143" t="str">
        <f>IF(VLOOKUP($B20,CODIGOS!$A:$F,6,0)&lt;&gt;1000,(($F20*$I$3)/VLOOKUP($B20,CODIGOS!$A:$F,6,0)),"")</f>
        <v/>
      </c>
      <c r="F20" s="207">
        <v>6</v>
      </c>
      <c r="G20" s="240">
        <f>(F20/1000)*VLOOKUP($B20,CODIGOS!$A:$G,7,0)</f>
        <v>6.0000000000000001E-3</v>
      </c>
      <c r="H20" s="25">
        <f>VLOOKUP($A20,CODIGOS!$B:$D,2,FALSE)</f>
        <v>2986</v>
      </c>
      <c r="I20" s="241">
        <f t="shared" ref="I20:I30" si="5">IF($H20="S/STOCK","",$J20/$I$3)</f>
        <v>17.916</v>
      </c>
      <c r="J20" s="59">
        <f t="shared" ref="J20:J25" si="6">IF(H20="S/STOCK","",IF($E20="",$D20*$H20,$E20*$H20))</f>
        <v>1433.28</v>
      </c>
      <c r="K20" s="128">
        <f>VLOOKUP($B20,CODIGOS!$A:$K,8,0)*$G20*1000</f>
        <v>21.54</v>
      </c>
      <c r="L20" s="129">
        <f>VLOOKUP($B20,CODIGOS!$A:$K,9,0)*$G20*1000</f>
        <v>0</v>
      </c>
      <c r="M20" s="129">
        <f>VLOOKUP($B20,CODIGOS!$A:$K,10,0)*$G20*1000</f>
        <v>0</v>
      </c>
      <c r="N20" s="130">
        <f>VLOOKUP($B20,CODIGOS!$A:$K,11,0)*$G20*1000</f>
        <v>5.3759999999999994</v>
      </c>
    </row>
    <row r="21" spans="1:14" ht="13.5" customHeight="1" x14ac:dyDescent="0.2">
      <c r="A21" s="248" t="s">
        <v>13</v>
      </c>
      <c r="B21" s="122" t="str">
        <f>VLOOKUP($A21,NSN!$A:$B,2,FALSE)</f>
        <v>V000415</v>
      </c>
      <c r="C21" s="123" t="str">
        <f>VLOOKUP($A21,CODIGOS!$B:$E,4,FALSE)</f>
        <v>KG</v>
      </c>
      <c r="D21" s="124">
        <f t="shared" si="4"/>
        <v>4</v>
      </c>
      <c r="E21" s="124" t="str">
        <f>IF(VLOOKUP($B21,CODIGOS!$A:$F,6,0)&lt;&gt;1000,(($F21*$I$3)/VLOOKUP($B21,CODIGOS!$A:$F,6,0)),"")</f>
        <v/>
      </c>
      <c r="F21" s="206">
        <v>50</v>
      </c>
      <c r="G21" s="135">
        <f>(F21/1000)*VLOOKUP($B21,CODIGOS!$A:$G,7,0)</f>
        <v>0.05</v>
      </c>
      <c r="H21" s="24">
        <f>VLOOKUP($A21,CODIGOS!$B:$D,2,FALSE)</f>
        <v>1783</v>
      </c>
      <c r="I21" s="147">
        <f t="shared" si="5"/>
        <v>89.15</v>
      </c>
      <c r="J21" s="53">
        <f t="shared" si="6"/>
        <v>7132</v>
      </c>
      <c r="K21" s="131">
        <f>VLOOKUP($B21,CODIGOS!$A:$K,8,0)*$G21*1000</f>
        <v>157.5</v>
      </c>
      <c r="L21" s="132">
        <f>VLOOKUP($B21,CODIGOS!$A:$K,9,0)*$G21*1000</f>
        <v>4.0999999999999996</v>
      </c>
      <c r="M21" s="132">
        <f>VLOOKUP($B21,CODIGOS!$A:$K,10,0)*$G21*1000</f>
        <v>2</v>
      </c>
      <c r="N21" s="133">
        <f>VLOOKUP($B21,CODIGOS!$A:$K,11,0)*$G21*1000</f>
        <v>30.8</v>
      </c>
    </row>
    <row r="22" spans="1:14" ht="13.5" customHeight="1" x14ac:dyDescent="0.2">
      <c r="A22" s="248" t="s">
        <v>331</v>
      </c>
      <c r="B22" s="122" t="str">
        <f>VLOOKUP($A22,NSN!$A:$B,2,FALSE)</f>
        <v>C902862</v>
      </c>
      <c r="C22" s="123" t="str">
        <f>VLOOKUP($A22,CODIGOS!$B:$E,4,FALSE)</f>
        <v>KG</v>
      </c>
      <c r="D22" s="124">
        <f t="shared" si="4"/>
        <v>1</v>
      </c>
      <c r="E22" s="124" t="str">
        <f>IF(VLOOKUP($B22,CODIGOS!$A:$F,6,0)&lt;&gt;1000,(($F22*$I$3)/VLOOKUP($B22,CODIGOS!$A:$F,6,0)),"")</f>
        <v/>
      </c>
      <c r="F22" s="512">
        <v>12.5</v>
      </c>
      <c r="G22" s="125">
        <f>(F22/1000)*VLOOKUP($B22,CODIGOS!$A:$G,7,0)</f>
        <v>1.2500000000000001E-2</v>
      </c>
      <c r="H22" s="24">
        <f>VLOOKUP($A22,CODIGOS!$B:$D,2,FALSE)</f>
        <v>2590</v>
      </c>
      <c r="I22" s="24">
        <f t="shared" si="5"/>
        <v>32.375</v>
      </c>
      <c r="J22" s="24">
        <f t="shared" si="6"/>
        <v>2590</v>
      </c>
      <c r="K22" s="125">
        <f>VLOOKUP($B22,CODIGOS!$A:$K,8,0)*$G22*1000</f>
        <v>37.500000000000007</v>
      </c>
      <c r="L22" s="125">
        <f>VLOOKUP($B22,CODIGOS!$A:$K,9,0)*$G22*1000</f>
        <v>0.77500000000000013</v>
      </c>
      <c r="M22" s="125">
        <f>VLOOKUP($B22,CODIGOS!$A:$K,10,0)*$G22*1000</f>
        <v>0.25</v>
      </c>
      <c r="N22" s="221">
        <f>VLOOKUP($B22,CODIGOS!$A:$K,11,0)*$G22*1000</f>
        <v>8</v>
      </c>
    </row>
    <row r="23" spans="1:14" ht="13.5" customHeight="1" x14ac:dyDescent="0.2">
      <c r="A23" s="248" t="s">
        <v>2337</v>
      </c>
      <c r="B23" s="122" t="str">
        <f>VLOOKUP($A23,NSN!$A:$B,2,FALSE)</f>
        <v>C903555</v>
      </c>
      <c r="C23" s="123" t="str">
        <f>VLOOKUP($A23,CODIGOS!$B:$E,4,FALSE)</f>
        <v>KG</v>
      </c>
      <c r="D23" s="124">
        <f t="shared" si="4"/>
        <v>13.6</v>
      </c>
      <c r="E23" s="124" t="str">
        <f>IF(VLOOKUP($B23,CODIGOS!$A:$F,6,0)&lt;&gt;1000,(($F23*$I$3)/VLOOKUP($B23,CODIGOS!$A:$F,6,0)),"")</f>
        <v/>
      </c>
      <c r="F23" s="501">
        <v>170</v>
      </c>
      <c r="G23" s="135">
        <f>(F23/1000)*VLOOKUP($B23,CODIGOS!$A:$G,7,0)</f>
        <v>0.12291000000000001</v>
      </c>
      <c r="H23" s="24">
        <f>VLOOKUP($A23,CODIGOS!$B:$D,2,FALSE)</f>
        <v>4165</v>
      </c>
      <c r="I23" s="147">
        <f t="shared" si="5"/>
        <v>708.05</v>
      </c>
      <c r="J23" s="53">
        <f t="shared" si="6"/>
        <v>56644</v>
      </c>
      <c r="K23" s="131">
        <f>VLOOKUP($B23,CODIGOS!$A:$K,8,0)*$G23*1000</f>
        <v>244.5909</v>
      </c>
      <c r="L23" s="132">
        <f>VLOOKUP($B23,CODIGOS!$A:$K,9,0)*$G23*1000</f>
        <v>27.531839999999999</v>
      </c>
      <c r="M23" s="132">
        <f>VLOOKUP($B23,CODIGOS!$A:$K,10,0)*$G23*1000</f>
        <v>14.134650000000002</v>
      </c>
      <c r="N23" s="133">
        <f>VLOOKUP($B23,CODIGOS!$A:$K,11,0)*$G23*1000</f>
        <v>1.84365</v>
      </c>
    </row>
    <row r="24" spans="1:14" ht="13.5" customHeight="1" x14ac:dyDescent="0.2">
      <c r="A24" s="248" t="s">
        <v>25</v>
      </c>
      <c r="B24" s="122" t="str">
        <f>VLOOKUP($A24,NSN!$A:$B,2,FALSE)</f>
        <v>V000207</v>
      </c>
      <c r="C24" s="123" t="str">
        <f>VLOOKUP($A24,CODIGOS!$B:$E,4,FALSE)</f>
        <v>KG</v>
      </c>
      <c r="D24" s="124">
        <f t="shared" si="4"/>
        <v>0.4</v>
      </c>
      <c r="E24" s="124" t="str">
        <f>IF(VLOOKUP($B24,CODIGOS!$A:$F,6,0)&lt;&gt;1000,(($F24*$I$3)/VLOOKUP($B24,CODIGOS!$A:$F,6,0)),"")</f>
        <v/>
      </c>
      <c r="F24" s="512">
        <v>5</v>
      </c>
      <c r="G24" s="125">
        <f>(F24/1000)*VLOOKUP($B24,CODIGOS!$A:$G,7,0)</f>
        <v>5.0000000000000001E-3</v>
      </c>
      <c r="H24" s="24">
        <f>VLOOKUP($A24,CODIGOS!$B:$D,2,FALSE)</f>
        <v>2488</v>
      </c>
      <c r="I24" s="24">
        <f t="shared" si="5"/>
        <v>12.440000000000001</v>
      </c>
      <c r="J24" s="24">
        <f t="shared" si="6"/>
        <v>995.2</v>
      </c>
      <c r="K24" s="125">
        <f>VLOOKUP($B24,CODIGOS!$A:$K,8,0)*$G24*1000</f>
        <v>6.65</v>
      </c>
      <c r="L24" s="125">
        <f>VLOOKUP($B24,CODIGOS!$A:$K,9,0)*$G24*1000</f>
        <v>9.0000000000000011E-2</v>
      </c>
      <c r="M24" s="125">
        <f>VLOOKUP($B24,CODIGOS!$A:$K,10,0)*$G24*1000</f>
        <v>0.13999999999999999</v>
      </c>
      <c r="N24" s="221">
        <f>VLOOKUP($B24,CODIGOS!$A:$K,11,0)*$G24*1000</f>
        <v>1.2550000000000001</v>
      </c>
    </row>
    <row r="25" spans="1:14" ht="13.5" customHeight="1" x14ac:dyDescent="0.2">
      <c r="A25" s="248" t="s">
        <v>2028</v>
      </c>
      <c r="B25" s="122" t="str">
        <f>VLOOKUP($A25,NSN!$A:$B,2,FALSE)</f>
        <v>C902636</v>
      </c>
      <c r="C25" s="123" t="str">
        <f>VLOOKUP($A25,CODIGOS!$B:$E,4,FALSE)</f>
        <v>900 ML</v>
      </c>
      <c r="D25" s="124">
        <f t="shared" si="4"/>
        <v>0.4</v>
      </c>
      <c r="E25" s="124">
        <f>IF(VLOOKUP($B25,CODIGOS!$A:$F,6,0)&lt;&gt;1000,(($F25*$I$3)/VLOOKUP($B25,CODIGOS!$A:$F,6,0)),"")</f>
        <v>0.44444444444444442</v>
      </c>
      <c r="F25" s="501">
        <v>5</v>
      </c>
      <c r="G25" s="125">
        <f>(F25/1000)*VLOOKUP($B25,CODIGOS!$A:$G,7,0)</f>
        <v>5.0000000000000001E-3</v>
      </c>
      <c r="H25" s="24">
        <f>VLOOKUP($A25,CODIGOS!$B:$D,2,FALSE)</f>
        <v>1500</v>
      </c>
      <c r="I25" s="24">
        <f t="shared" si="5"/>
        <v>8.3333333333333321</v>
      </c>
      <c r="J25" s="24">
        <f t="shared" si="6"/>
        <v>666.66666666666663</v>
      </c>
      <c r="K25" s="125">
        <f>VLOOKUP($B25,CODIGOS!$A:$K,8,0)*$G25*1000</f>
        <v>44.2</v>
      </c>
      <c r="L25" s="125">
        <f>VLOOKUP($B25,CODIGOS!$A:$K,9,0)*$G25*1000</f>
        <v>0</v>
      </c>
      <c r="M25" s="125">
        <f>VLOOKUP($B25,CODIGOS!$A:$K,10,0)*$G25*1000</f>
        <v>5</v>
      </c>
      <c r="N25" s="221">
        <f>VLOOKUP($B25,CODIGOS!$A:$K,11,0)*$G25*1000</f>
        <v>0</v>
      </c>
    </row>
    <row r="26" spans="1:14" ht="13.5" customHeight="1" x14ac:dyDescent="0.2">
      <c r="A26" s="248" t="s">
        <v>653</v>
      </c>
      <c r="B26" s="122" t="str">
        <f>VLOOKUP($A26,NSN!$A:$B,2,FALSE)</f>
        <v>C000528</v>
      </c>
      <c r="C26" s="123" t="str">
        <f>VLOOKUP($A26,CODIGOS!$B:$E,4,FALSE)</f>
        <v>KG</v>
      </c>
      <c r="D26" s="124">
        <f t="shared" si="4"/>
        <v>0.04</v>
      </c>
      <c r="E26" s="124" t="str">
        <f>IF(VLOOKUP($B26,CODIGOS!$A:$F,6,0)&lt;&gt;1000,(($F26*$I$3)/VLOOKUP($B26,CODIGOS!$A:$F,6,0)),"")</f>
        <v/>
      </c>
      <c r="F26" s="512">
        <v>0.5</v>
      </c>
      <c r="G26" s="125">
        <f>(F26/1000)*VLOOKUP($B26,CODIGOS!$A:$G,7,0)</f>
        <v>5.0000000000000001E-4</v>
      </c>
      <c r="H26" s="24">
        <f>VLOOKUP($A26,CODIGOS!$B:$D,2,FALSE)</f>
        <v>375</v>
      </c>
      <c r="I26" s="24">
        <f t="shared" si="5"/>
        <v>0.1875</v>
      </c>
      <c r="J26" s="24">
        <f t="shared" ref="J26:J30" si="7">IF(H26="S/STOCK","",IF($E26="",$D26*$H26,$E26*$H26))</f>
        <v>15</v>
      </c>
      <c r="K26" s="125">
        <f>VLOOKUP($B26,CODIGOS!$A:$K,8,0)*$G26*1000</f>
        <v>0</v>
      </c>
      <c r="L26" s="125">
        <f>VLOOKUP($B26,CODIGOS!$A:$K,9,0)*$G26*1000</f>
        <v>0</v>
      </c>
      <c r="M26" s="125">
        <f>VLOOKUP($B26,CODIGOS!$A:$K,10,0)*$G26*1000</f>
        <v>0</v>
      </c>
      <c r="N26" s="221">
        <f>VLOOKUP($B26,CODIGOS!$A:$K,11,0)*$G26*1000</f>
        <v>0</v>
      </c>
    </row>
    <row r="27" spans="1:14" ht="13.5" customHeight="1" x14ac:dyDescent="0.2">
      <c r="A27" s="248" t="s">
        <v>2206</v>
      </c>
      <c r="B27" s="122" t="str">
        <f>VLOOKUP($A27,NSN!$A:$B,2,FALSE)</f>
        <v xml:space="preserve">  C903499</v>
      </c>
      <c r="C27" s="123" t="str">
        <f>VLOOKUP($A27,CODIGOS!$B:$E,4,FALSE)</f>
        <v>KG</v>
      </c>
      <c r="D27" s="124">
        <f t="shared" si="4"/>
        <v>6.4</v>
      </c>
      <c r="E27" s="124" t="str">
        <f>IF(VLOOKUP($B27,CODIGOS!$A:$F,6,0)&lt;&gt;1000,(($F27*$I$3)/VLOOKUP($B27,CODIGOS!$A:$F,6,0)),"")</f>
        <v/>
      </c>
      <c r="F27" s="525">
        <v>80</v>
      </c>
      <c r="G27" s="125">
        <f>(F27/1000)*VLOOKUP($B27,CODIGOS!$A:$G,7,0)</f>
        <v>0.08</v>
      </c>
      <c r="H27" s="24">
        <f>VLOOKUP($A27,CODIGOS!$B:$D,2,FALSE)</f>
        <v>1750</v>
      </c>
      <c r="I27" s="24">
        <f t="shared" si="5"/>
        <v>140</v>
      </c>
      <c r="J27" s="24">
        <f t="shared" si="7"/>
        <v>11200</v>
      </c>
      <c r="K27" s="125">
        <f>VLOOKUP($B27,CODIGOS!$A:$K,8,0)*$G27*1000</f>
        <v>277.60000000000002</v>
      </c>
      <c r="L27" s="125">
        <f>VLOOKUP($B27,CODIGOS!$A:$K,9,0)*$G27*1000</f>
        <v>10.64</v>
      </c>
      <c r="M27" s="125">
        <f>VLOOKUP($B27,CODIGOS!$A:$K,10,0)*$G27*1000</f>
        <v>0.4</v>
      </c>
      <c r="N27" s="221">
        <f>VLOOKUP($B27,CODIGOS!$A:$K,11,0)*$G27*1000</f>
        <v>57.84</v>
      </c>
    </row>
    <row r="28" spans="1:14" ht="13.5" customHeight="1" x14ac:dyDescent="0.2">
      <c r="A28" s="248" t="s">
        <v>2028</v>
      </c>
      <c r="B28" s="122" t="str">
        <f>VLOOKUP($A28,NSN!$A:$B,2,FALSE)</f>
        <v>C902636</v>
      </c>
      <c r="C28" s="123" t="str">
        <f>VLOOKUP($A28,CODIGOS!$B:$E,4,FALSE)</f>
        <v>900 ML</v>
      </c>
      <c r="D28" s="124">
        <f t="shared" si="4"/>
        <v>0.4</v>
      </c>
      <c r="E28" s="124">
        <f>IF(VLOOKUP($B28,CODIGOS!$A:$F,6,0)&lt;&gt;1000,(($F28*$I$3)/VLOOKUP($B28,CODIGOS!$A:$F,6,0)),"")</f>
        <v>0.44444444444444442</v>
      </c>
      <c r="F28" s="501">
        <v>5</v>
      </c>
      <c r="G28" s="125">
        <f>(F28/1000)*VLOOKUP($B28,CODIGOS!$A:$G,7,0)</f>
        <v>5.0000000000000001E-3</v>
      </c>
      <c r="H28" s="24">
        <f>VLOOKUP($A28,CODIGOS!$B:$D,2,FALSE)</f>
        <v>1500</v>
      </c>
      <c r="I28" s="24">
        <f t="shared" si="5"/>
        <v>8.3333333333333321</v>
      </c>
      <c r="J28" s="24">
        <f t="shared" si="7"/>
        <v>666.66666666666663</v>
      </c>
      <c r="K28" s="125">
        <f>VLOOKUP($B28,CODIGOS!$A:$K,8,0)*$G28*1000</f>
        <v>44.2</v>
      </c>
      <c r="L28" s="125">
        <f>VLOOKUP($B28,CODIGOS!$A:$K,9,0)*$G28*1000</f>
        <v>0</v>
      </c>
      <c r="M28" s="125">
        <f>VLOOKUP($B28,CODIGOS!$A:$K,10,0)*$G28*1000</f>
        <v>5</v>
      </c>
      <c r="N28" s="221">
        <f>VLOOKUP($B28,CODIGOS!$A:$K,11,0)*$G28*1000</f>
        <v>0</v>
      </c>
    </row>
    <row r="29" spans="1:14" ht="13.5" customHeight="1" x14ac:dyDescent="0.2">
      <c r="A29" s="248" t="s">
        <v>653</v>
      </c>
      <c r="B29" s="122" t="str">
        <f>VLOOKUP($A29,NSN!$A:$B,2,FALSE)</f>
        <v>C000528</v>
      </c>
      <c r="C29" s="123" t="str">
        <f>VLOOKUP($A29,CODIGOS!$B:$E,4,FALSE)</f>
        <v>KG</v>
      </c>
      <c r="D29" s="124">
        <f t="shared" si="4"/>
        <v>0.04</v>
      </c>
      <c r="E29" s="124" t="str">
        <f>IF(VLOOKUP($B29,CODIGOS!$A:$F,6,0)&lt;&gt;1000,(($F29*$I$3)/VLOOKUP($B29,CODIGOS!$A:$F,6,0)),"")</f>
        <v/>
      </c>
      <c r="F29" s="525">
        <v>0.5</v>
      </c>
      <c r="G29" s="125">
        <f>(F29/1000)*VLOOKUP($B29,CODIGOS!$A:$G,7,0)</f>
        <v>5.0000000000000001E-4</v>
      </c>
      <c r="H29" s="24">
        <f>VLOOKUP($A29,CODIGOS!$B:$D,2,FALSE)</f>
        <v>375</v>
      </c>
      <c r="I29" s="24">
        <f t="shared" si="5"/>
        <v>0.1875</v>
      </c>
      <c r="J29" s="24">
        <f t="shared" si="7"/>
        <v>15</v>
      </c>
      <c r="K29" s="125">
        <f>VLOOKUP($B29,CODIGOS!$A:$K,8,0)*$G29*1000</f>
        <v>0</v>
      </c>
      <c r="L29" s="125">
        <f>VLOOKUP($B29,CODIGOS!$A:$K,9,0)*$G29*1000</f>
        <v>0</v>
      </c>
      <c r="M29" s="125">
        <f>VLOOKUP($B29,CODIGOS!$A:$K,10,0)*$G29*1000</f>
        <v>0</v>
      </c>
      <c r="N29" s="221">
        <f>VLOOKUP($B29,CODIGOS!$A:$K,11,0)*$G29*1000</f>
        <v>0</v>
      </c>
    </row>
    <row r="30" spans="1:14" ht="13.5" customHeight="1" thickBot="1" x14ac:dyDescent="0.25">
      <c r="A30" s="248" t="s">
        <v>318</v>
      </c>
      <c r="B30" s="148" t="str">
        <f>VLOOKUP($A30,NSN!$A:$B,2,FALSE)</f>
        <v>C902855</v>
      </c>
      <c r="C30" s="149" t="str">
        <f>VLOOKUP($A30,CODIGOS!$B:$E,4,FALSE)</f>
        <v>KG</v>
      </c>
      <c r="D30" s="150">
        <f t="shared" si="4"/>
        <v>1.1200000000000001</v>
      </c>
      <c r="E30" s="150" t="str">
        <f>IF(VLOOKUP($B30,CODIGOS!$A:$F,6,0)&lt;&gt;1000,(($F30*$I$3)/VLOOKUP($B30,CODIGOS!$A:$F,6,0)),"")</f>
        <v/>
      </c>
      <c r="F30" s="502">
        <v>14</v>
      </c>
      <c r="G30" s="242">
        <f>(F30/1000)*VLOOKUP($B30,CODIGOS!$A:$G,7,0)</f>
        <v>1.4E-2</v>
      </c>
      <c r="H30" s="222">
        <f>VLOOKUP($A30,CODIGOS!$B:$D,2,FALSE)</f>
        <v>4034</v>
      </c>
      <c r="I30" s="243">
        <f t="shared" si="5"/>
        <v>56.476000000000013</v>
      </c>
      <c r="J30" s="229">
        <f t="shared" si="7"/>
        <v>4518.0800000000008</v>
      </c>
      <c r="K30" s="238">
        <f>VLOOKUP($B30,CODIGOS!$A:$K,8,0)*$G30*1000</f>
        <v>50.960000000000008</v>
      </c>
      <c r="L30" s="230">
        <f>VLOOKUP($B30,CODIGOS!$A:$K,9,0)*$G30*1000</f>
        <v>3.0379999999999998</v>
      </c>
      <c r="M30" s="230">
        <f>VLOOKUP($B30,CODIGOS!$A:$K,10,0)*$G30*1000</f>
        <v>0</v>
      </c>
      <c r="N30" s="231">
        <f>VLOOKUP($B30,CODIGOS!$A:$K,11,0)*$G30*1000</f>
        <v>7.8819999999999997</v>
      </c>
    </row>
    <row r="31" spans="1:14" ht="13.5" customHeight="1" thickBot="1" x14ac:dyDescent="0.25">
      <c r="A31" s="17" t="s">
        <v>627</v>
      </c>
      <c r="B31" s="33"/>
      <c r="C31" s="18"/>
      <c r="D31" s="126"/>
      <c r="E31" s="126"/>
      <c r="F31" s="211"/>
      <c r="G31" s="19"/>
      <c r="H31" s="41"/>
      <c r="I31" s="249">
        <f t="shared" ref="I31:N31" si="8">SUM(I20:I30)</f>
        <v>1073.4486666666669</v>
      </c>
      <c r="J31" s="250">
        <f t="shared" si="8"/>
        <v>85875.893333333341</v>
      </c>
      <c r="K31" s="251">
        <f t="shared" si="8"/>
        <v>884.74090000000001</v>
      </c>
      <c r="L31" s="251">
        <f t="shared" si="8"/>
        <v>46.174840000000003</v>
      </c>
      <c r="M31" s="251">
        <f t="shared" si="8"/>
        <v>26.92465</v>
      </c>
      <c r="N31" s="252">
        <f t="shared" si="8"/>
        <v>112.99665000000002</v>
      </c>
    </row>
    <row r="32" spans="1:14" ht="13.5" customHeight="1" thickBot="1" x14ac:dyDescent="0.25">
      <c r="A32" s="106" t="s">
        <v>23</v>
      </c>
      <c r="B32" s="107"/>
      <c r="C32" s="107"/>
      <c r="D32" s="107"/>
      <c r="E32" s="107"/>
      <c r="F32" s="212"/>
      <c r="G32" s="107"/>
      <c r="H32" s="107"/>
      <c r="I32" s="107"/>
      <c r="J32" s="107"/>
      <c r="K32" s="107"/>
      <c r="L32" s="107"/>
      <c r="M32" s="107"/>
      <c r="N32" s="108"/>
    </row>
    <row r="33" spans="1:14" ht="13.5" customHeight="1" x14ac:dyDescent="0.2">
      <c r="A33" s="248" t="s">
        <v>323</v>
      </c>
      <c r="B33" s="141" t="str">
        <f>VLOOKUP($A33,NSN!$A:$B,2,FALSE)</f>
        <v>C902857</v>
      </c>
      <c r="C33" s="142" t="str">
        <f>VLOOKUP($A33,CODIGOS!$B:$E,4,FALSE)</f>
        <v>KG</v>
      </c>
      <c r="D33" s="143">
        <f t="shared" ref="D33:D49" si="9">($F33*$I$3)/1000</f>
        <v>0.48</v>
      </c>
      <c r="E33" s="143" t="str">
        <f>IF(VLOOKUP($B33,CODIGOS!$A:$F,6,0)&lt;&gt;1000,(($F33*$I$3)/VLOOKUP($B33,CODIGOS!$A:$F,6,0)),"")</f>
        <v/>
      </c>
      <c r="F33" s="207">
        <v>6</v>
      </c>
      <c r="G33" s="144">
        <f>(F33/1000)*VLOOKUP($B33,CODIGOS!$A:$G,7,0)</f>
        <v>6.0000000000000001E-3</v>
      </c>
      <c r="H33" s="25">
        <f>VLOOKUP($A33,CODIGOS!$B:$D,2,FALSE)</f>
        <v>2941</v>
      </c>
      <c r="I33" s="25">
        <f t="shared" ref="I33:I49" si="10">IF($H33="S/STOCK","",$J33/$I$3)</f>
        <v>17.645999999999997</v>
      </c>
      <c r="J33" s="25">
        <f t="shared" ref="J33:J49" si="11">IF(H33="S/STOCK","",IF($E33="",$D33*$H33,$E33*$H33))</f>
        <v>1411.6799999999998</v>
      </c>
      <c r="K33" s="144">
        <f>VLOOKUP($B33,CODIGOS!$A:$K,8,0)*$G33*1000</f>
        <v>21.54</v>
      </c>
      <c r="L33" s="144">
        <f>VLOOKUP($B33,CODIGOS!$A:$K,9,0)*$G33*1000</f>
        <v>0</v>
      </c>
      <c r="M33" s="144">
        <f>VLOOKUP($B33,CODIGOS!$A:$K,10,0)*$G33*1000</f>
        <v>0</v>
      </c>
      <c r="N33" s="220">
        <f>VLOOKUP($B33,CODIGOS!$A:$K,11,0)*$G33*1000</f>
        <v>5.3759999999999994</v>
      </c>
    </row>
    <row r="34" spans="1:14" ht="13.5" customHeight="1" x14ac:dyDescent="0.2">
      <c r="A34" s="248" t="s">
        <v>13</v>
      </c>
      <c r="B34" s="122" t="str">
        <f>VLOOKUP($A34,NSN!$A:$B,2,FALSE)</f>
        <v>V000415</v>
      </c>
      <c r="C34" s="123" t="str">
        <f>VLOOKUP($A34,CODIGOS!$B:$E,4,FALSE)</f>
        <v>KG</v>
      </c>
      <c r="D34" s="124">
        <f t="shared" si="9"/>
        <v>4</v>
      </c>
      <c r="E34" s="124" t="str">
        <f>IF(VLOOKUP($B34,CODIGOS!$A:$F,6,0)&lt;&gt;1000,(($F34*$I$3)/VLOOKUP($B34,CODIGOS!$A:$F,6,0)),"")</f>
        <v/>
      </c>
      <c r="F34" s="206">
        <v>50</v>
      </c>
      <c r="G34" s="125">
        <f>(F34/1000)*VLOOKUP($B34,CODIGOS!$A:$G,7,0)</f>
        <v>0.05</v>
      </c>
      <c r="H34" s="24">
        <f>VLOOKUP($A34,CODIGOS!$B:$D,2,FALSE)</f>
        <v>1783</v>
      </c>
      <c r="I34" s="24">
        <f t="shared" si="10"/>
        <v>89.15</v>
      </c>
      <c r="J34" s="24">
        <f t="shared" si="11"/>
        <v>7132</v>
      </c>
      <c r="K34" s="125">
        <f>VLOOKUP($B34,CODIGOS!$A:$K,8,0)*$G34*1000</f>
        <v>157.5</v>
      </c>
      <c r="L34" s="125">
        <f>VLOOKUP($B34,CODIGOS!$A:$K,9,0)*$G34*1000</f>
        <v>4.0999999999999996</v>
      </c>
      <c r="M34" s="125">
        <f>VLOOKUP($B34,CODIGOS!$A:$K,10,0)*$G34*1000</f>
        <v>2</v>
      </c>
      <c r="N34" s="221">
        <f>VLOOKUP($B34,CODIGOS!$A:$K,11,0)*$G34*1000</f>
        <v>30.8</v>
      </c>
    </row>
    <row r="35" spans="1:14" ht="13.5" customHeight="1" x14ac:dyDescent="0.2">
      <c r="A35" s="248" t="s">
        <v>621</v>
      </c>
      <c r="B35" s="122" t="str">
        <f>VLOOKUP($A35,NSN!$A:$B,2,FALSE)</f>
        <v>C902847</v>
      </c>
      <c r="C35" s="123" t="str">
        <f>VLOOKUP($A35,CODIGOS!$B:$E,4,FALSE)</f>
        <v>KG</v>
      </c>
      <c r="D35" s="124">
        <f t="shared" si="9"/>
        <v>1</v>
      </c>
      <c r="E35" s="124" t="str">
        <f>IF(VLOOKUP($B35,CODIGOS!$A:$F,6,0)&lt;&gt;1000,(($F35*$I$3)/VLOOKUP($B35,CODIGOS!$A:$F,6,0)),"")</f>
        <v/>
      </c>
      <c r="F35" s="501">
        <v>12.5</v>
      </c>
      <c r="G35" s="125">
        <f>(F35/1000)*VLOOKUP($B35,CODIGOS!$A:$G,7,0)</f>
        <v>1.2500000000000001E-2</v>
      </c>
      <c r="H35" s="24">
        <f>VLOOKUP($A35,CODIGOS!$B:$D,2,FALSE)</f>
        <v>2361</v>
      </c>
      <c r="I35" s="24">
        <f t="shared" si="10"/>
        <v>29.512499999999999</v>
      </c>
      <c r="J35" s="24">
        <f t="shared" si="11"/>
        <v>2361</v>
      </c>
      <c r="K35" s="125">
        <f>VLOOKUP($B35,CODIGOS!$A:$K,8,0)*$G35*1000</f>
        <v>37.750000000000007</v>
      </c>
      <c r="L35" s="125">
        <f>VLOOKUP($B35,CODIGOS!$A:$K,9,0)*$G35*1000</f>
        <v>0.81250000000000011</v>
      </c>
      <c r="M35" s="125">
        <f>VLOOKUP($B35,CODIGOS!$A:$K,10,0)*$G35*1000</f>
        <v>0.27500000000000002</v>
      </c>
      <c r="N35" s="221">
        <f>VLOOKUP($B35,CODIGOS!$A:$K,11,0)*$G35*1000</f>
        <v>8</v>
      </c>
    </row>
    <row r="36" spans="1:14" ht="13.5" customHeight="1" x14ac:dyDescent="0.2">
      <c r="A36" s="248" t="s">
        <v>429</v>
      </c>
      <c r="B36" s="122" t="str">
        <f>VLOOKUP($A36,NSN!$A:$B,2,FALSE)</f>
        <v>C902472</v>
      </c>
      <c r="C36" s="123" t="str">
        <f>VLOOKUP($A36,CODIGOS!$B:$E,4,FALSE)</f>
        <v>KG</v>
      </c>
      <c r="D36" s="124">
        <f t="shared" si="9"/>
        <v>9.6</v>
      </c>
      <c r="E36" s="124" t="str">
        <f>IF(VLOOKUP($B36,CODIGOS!$A:$F,6,0)&lt;&gt;1000,(($F36*$I$3)/VLOOKUP($B36,CODIGOS!$A:$F,6,0)),"")</f>
        <v/>
      </c>
      <c r="F36" s="512">
        <v>120</v>
      </c>
      <c r="G36" s="125">
        <f>(F36/1000)*VLOOKUP($B36,CODIGOS!$A:$G,7,0)</f>
        <v>7.7759999999999996E-2</v>
      </c>
      <c r="H36" s="24">
        <f>VLOOKUP($A36,CODIGOS!$B:$D,2,FALSE)</f>
        <v>4940</v>
      </c>
      <c r="I36" s="24">
        <f t="shared" si="10"/>
        <v>592.79999999999995</v>
      </c>
      <c r="J36" s="24">
        <f t="shared" si="11"/>
        <v>47424</v>
      </c>
      <c r="K36" s="125">
        <f>VLOOKUP($B36,CODIGOS!$A:$K,8,0)*$G36*1000</f>
        <v>101.08799999999999</v>
      </c>
      <c r="L36" s="125">
        <f>VLOOKUP($B36,CODIGOS!$A:$K,9,0)*$G36*1000</f>
        <v>16.718399999999999</v>
      </c>
      <c r="M36" s="125">
        <f>VLOOKUP($B36,CODIGOS!$A:$K,10,0)*$G36*1000</f>
        <v>3.2659199999999999</v>
      </c>
      <c r="N36" s="221">
        <f>VLOOKUP($B36,CODIGOS!$A:$K,11,0)*$G36*1000</f>
        <v>3.3436799999999995</v>
      </c>
    </row>
    <row r="37" spans="1:14" ht="13.5" customHeight="1" x14ac:dyDescent="0.2">
      <c r="A37" s="248" t="s">
        <v>56</v>
      </c>
      <c r="B37" s="122" t="str">
        <f>VLOOKUP($A37,NSN!$A:$B,2,FALSE)</f>
        <v>C000249</v>
      </c>
      <c r="C37" s="123" t="str">
        <f>VLOOKUP($A37,CODIGOS!$B:$E,4,FALSE)</f>
        <v>KG</v>
      </c>
      <c r="D37" s="124">
        <f t="shared" si="9"/>
        <v>1.6</v>
      </c>
      <c r="E37" s="124" t="str">
        <f>IF(VLOOKUP($B37,CODIGOS!$A:$F,6,0)&lt;&gt;1000,(($F37*$I$3)/VLOOKUP($B37,CODIGOS!$A:$F,6,0)),"")</f>
        <v/>
      </c>
      <c r="F37" s="501">
        <v>20</v>
      </c>
      <c r="G37" s="135">
        <f>(F37/1000)*VLOOKUP($B37,CODIGOS!$A:$G,7,0)</f>
        <v>1.7819999999999999E-2</v>
      </c>
      <c r="H37" s="24">
        <f>VLOOKUP($A37,CODIGOS!$B:$D,2,FALSE)</f>
        <v>640</v>
      </c>
      <c r="I37" s="147">
        <f t="shared" si="10"/>
        <v>12.8</v>
      </c>
      <c r="J37" s="53">
        <f t="shared" si="11"/>
        <v>1024</v>
      </c>
      <c r="K37" s="131">
        <f>VLOOKUP($B37,CODIGOS!$A:$K,8,0)*$G37*1000</f>
        <v>7.6625999999999994</v>
      </c>
      <c r="L37" s="132">
        <f>VLOOKUP($B37,CODIGOS!$A:$K,9,0)*$G37*1000</f>
        <v>0.14255999999999999</v>
      </c>
      <c r="M37" s="132">
        <f>VLOOKUP($B37,CODIGOS!$A:$K,10,0)*$G37*1000</f>
        <v>3.5639999999999998E-2</v>
      </c>
      <c r="N37" s="133">
        <f>VLOOKUP($B37,CODIGOS!$A:$K,11,0)*$G37*1000</f>
        <v>1.71072</v>
      </c>
    </row>
    <row r="38" spans="1:14" ht="13.5" customHeight="1" x14ac:dyDescent="0.2">
      <c r="A38" s="248" t="s">
        <v>199</v>
      </c>
      <c r="B38" s="122" t="str">
        <f>VLOOKUP($A38,NSN!$A:$B,2,FALSE)</f>
        <v>V000330</v>
      </c>
      <c r="C38" s="123" t="str">
        <f>VLOOKUP($A38,CODIGOS!$B:$E,4,FALSE)</f>
        <v>KG</v>
      </c>
      <c r="D38" s="124">
        <f t="shared" si="9"/>
        <v>1.6</v>
      </c>
      <c r="E38" s="124" t="str">
        <f>IF(VLOOKUP($B38,CODIGOS!$A:$F,6,0)&lt;&gt;1000,(($F38*$I$3)/VLOOKUP($B38,CODIGOS!$A:$F,6,0)),"")</f>
        <v/>
      </c>
      <c r="F38" s="501">
        <v>20</v>
      </c>
      <c r="G38" s="125">
        <f>(F38/1000)*VLOOKUP($B38,CODIGOS!$A:$G,7,0)</f>
        <v>1.804E-2</v>
      </c>
      <c r="H38" s="24">
        <f>VLOOKUP($A38,CODIGOS!$B:$D,2,FALSE)</f>
        <v>1287</v>
      </c>
      <c r="I38" s="24">
        <f t="shared" si="10"/>
        <v>25.740000000000002</v>
      </c>
      <c r="J38" s="24">
        <f>IF(H38="S/STOCK","",IF($E38="",$D38*$H38,$E38*$H38))</f>
        <v>2059.2000000000003</v>
      </c>
      <c r="K38" s="125">
        <f>VLOOKUP($B38,CODIGOS!$A:$K,8,0)*$G38*1000</f>
        <v>15.5144</v>
      </c>
      <c r="L38" s="125">
        <f>VLOOKUP($B38,CODIGOS!$A:$K,9,0)*$G38*1000</f>
        <v>0.16236</v>
      </c>
      <c r="M38" s="125">
        <f>VLOOKUP($B38,CODIGOS!$A:$K,10,0)*$G38*1000</f>
        <v>9.0200000000000016E-2</v>
      </c>
      <c r="N38" s="221">
        <f>VLOOKUP($B38,CODIGOS!$A:$K,11,0)*$G38*1000</f>
        <v>1.4612400000000001</v>
      </c>
    </row>
    <row r="39" spans="1:14" ht="13.5" customHeight="1" x14ac:dyDescent="0.2">
      <c r="A39" s="248" t="s">
        <v>147</v>
      </c>
      <c r="B39" s="122" t="str">
        <f>VLOOKUP($A39,NSN!$A:$B,2,FALSE)</f>
        <v>V000014</v>
      </c>
      <c r="C39" s="123" t="str">
        <f>VLOOKUP($A39,CODIGOS!$B:$E,4,FALSE)</f>
        <v>NR 35 g</v>
      </c>
      <c r="D39" s="124">
        <f t="shared" si="9"/>
        <v>0.08</v>
      </c>
      <c r="E39" s="124">
        <f>IF(VLOOKUP($B39,CODIGOS!$A:$F,6,0)&lt;&gt;1000,(($F39*$I$3)/VLOOKUP($B39,CODIGOS!$A:$F,6,0)),"")</f>
        <v>2.2857142857142856</v>
      </c>
      <c r="F39" s="501">
        <v>1</v>
      </c>
      <c r="G39" s="135">
        <f>(F39/1000)*VLOOKUP($B39,CODIGOS!$A:$G,7,0)</f>
        <v>1E-3</v>
      </c>
      <c r="H39" s="24">
        <f>VLOOKUP($A39,CODIGOS!$B:$D,2,FALSE)</f>
        <v>297</v>
      </c>
      <c r="I39" s="147">
        <f t="shared" si="10"/>
        <v>8.485714285714284</v>
      </c>
      <c r="J39" s="53">
        <f>IF(H39="S/STOCK","",IF($E39="",$D39*$H39,$E39*$H39))</f>
        <v>678.85714285714278</v>
      </c>
      <c r="K39" s="131">
        <f>VLOOKUP($B39,CODIGOS!$A:$K,8,0)*$G39*1000</f>
        <v>1.39</v>
      </c>
      <c r="L39" s="132">
        <f>VLOOKUP($B39,CODIGOS!$A:$K,9,0)*$G39*1000</f>
        <v>6.7000000000000004E-2</v>
      </c>
      <c r="M39" s="132">
        <f>VLOOKUP($B39,CODIGOS!$A:$K,10,0)*$G39*1000</f>
        <v>4.0000000000000001E-3</v>
      </c>
      <c r="N39" s="133">
        <f>VLOOKUP($B39,CODIGOS!$A:$K,11,0)*$G39*1000</f>
        <v>0.27200000000000008</v>
      </c>
    </row>
    <row r="40" spans="1:14" ht="13.5" customHeight="1" x14ac:dyDescent="0.2">
      <c r="A40" s="248" t="s">
        <v>151</v>
      </c>
      <c r="B40" s="122" t="str">
        <f>VLOOKUP($A40,NSN!$A:$B,2,FALSE)</f>
        <v>V000148</v>
      </c>
      <c r="C40" s="123" t="str">
        <f>VLOOKUP($A40,CODIGOS!$B:$E,4,FALSE)</f>
        <v>NR 50 gr</v>
      </c>
      <c r="D40" s="124">
        <f t="shared" si="9"/>
        <v>2</v>
      </c>
      <c r="E40" s="124">
        <f>IF(VLOOKUP($B40,CODIGOS!$A:$F,6,0)&lt;&gt;1000,(($F40*$I$3)/VLOOKUP($B40,CODIGOS!$A:$F,6,0)),"")</f>
        <v>40</v>
      </c>
      <c r="F40" s="522">
        <v>25</v>
      </c>
      <c r="G40" s="135">
        <f>(F40/1000)*VLOOKUP($B40,CODIGOS!$A:$G,7,0)</f>
        <v>2.5000000000000001E-2</v>
      </c>
      <c r="H40" s="24">
        <f>VLOOKUP($A40,CODIGOS!$B:$D,2,FALSE)</f>
        <v>253</v>
      </c>
      <c r="I40" s="147">
        <f t="shared" si="10"/>
        <v>126.5</v>
      </c>
      <c r="J40" s="53">
        <f t="shared" si="11"/>
        <v>10120</v>
      </c>
      <c r="K40" s="131">
        <f>VLOOKUP($B40,CODIGOS!$A:$K,8,0)*$G40*1000</f>
        <v>40.000000000000007</v>
      </c>
      <c r="L40" s="132">
        <f>VLOOKUP($B40,CODIGOS!$A:$K,9,0)*$G40*1000</f>
        <v>3.3750000000000004</v>
      </c>
      <c r="M40" s="132">
        <f>VLOOKUP($B40,CODIGOS!$A:$K,10,0)*$G40*1000</f>
        <v>2.5000000000000004</v>
      </c>
      <c r="N40" s="133">
        <f>VLOOKUP($B40,CODIGOS!$A:$K,11,0)*$G40*1000</f>
        <v>0.1</v>
      </c>
    </row>
    <row r="41" spans="1:14" ht="13.5" customHeight="1" x14ac:dyDescent="0.2">
      <c r="A41" s="248" t="s">
        <v>13</v>
      </c>
      <c r="B41" s="122" t="str">
        <f>VLOOKUP($A41,NSN!$A:$B,2,FALSE)</f>
        <v>V000415</v>
      </c>
      <c r="C41" s="123" t="str">
        <f>VLOOKUP($A41,CODIGOS!$B:$E,4,FALSE)</f>
        <v>KG</v>
      </c>
      <c r="D41" s="124">
        <f t="shared" si="9"/>
        <v>0.8</v>
      </c>
      <c r="E41" s="124" t="str">
        <f>IF(VLOOKUP($B41,CODIGOS!$A:$F,6,0)&lt;&gt;1000,(($F41*$I$3)/VLOOKUP($B41,CODIGOS!$A:$F,6,0)),"")</f>
        <v/>
      </c>
      <c r="F41" s="522">
        <v>10</v>
      </c>
      <c r="G41" s="125">
        <f>(F41/1000)*VLOOKUP($B41,CODIGOS!$A:$G,7,0)</f>
        <v>0.01</v>
      </c>
      <c r="H41" s="24">
        <f>VLOOKUP($A41,CODIGOS!$B:$D,2,FALSE)</f>
        <v>1783</v>
      </c>
      <c r="I41" s="24">
        <f t="shared" si="10"/>
        <v>17.830000000000002</v>
      </c>
      <c r="J41" s="24">
        <f>IF(H41="S/STOCK","",IF($E41="",$D41*$H41,$E41*$H41))</f>
        <v>1426.4</v>
      </c>
      <c r="K41" s="125">
        <f>VLOOKUP($B41,CODIGOS!$A:$K,8,0)*$G41*1000</f>
        <v>31.5</v>
      </c>
      <c r="L41" s="125">
        <f>VLOOKUP($B41,CODIGOS!$A:$K,9,0)*$G41*1000</f>
        <v>0.81999999999999984</v>
      </c>
      <c r="M41" s="125">
        <f>VLOOKUP($B41,CODIGOS!$A:$K,10,0)*$G41*1000</f>
        <v>0.4</v>
      </c>
      <c r="N41" s="221">
        <f>VLOOKUP($B41,CODIGOS!$A:$K,11,0)*$G41*1000</f>
        <v>6.1599999999999993</v>
      </c>
    </row>
    <row r="42" spans="1:14" ht="13.5" customHeight="1" x14ac:dyDescent="0.2">
      <c r="A42" s="248" t="s">
        <v>124</v>
      </c>
      <c r="B42" s="122" t="str">
        <f>VLOOKUP($A42,NSN!$A:$B,2,FALSE)</f>
        <v>V000006</v>
      </c>
      <c r="C42" s="123" t="str">
        <f>VLOOKUP($A42,CODIGOS!$B:$E,4,FALSE)</f>
        <v>AT 640 gr</v>
      </c>
      <c r="D42" s="124">
        <f t="shared" si="9"/>
        <v>2.4</v>
      </c>
      <c r="E42" s="124">
        <f>IF(VLOOKUP($B42,CODIGOS!$A:$F,6,0)&lt;&gt;1000,(($F42*$I$3)/VLOOKUP($B42,CODIGOS!$A:$F,6,0)),"")</f>
        <v>3.75</v>
      </c>
      <c r="F42" s="501">
        <v>30</v>
      </c>
      <c r="G42" s="135">
        <f>(F42/1000)*VLOOKUP($B42,CODIGOS!$A:$G,7,0)</f>
        <v>2.5139999999999999E-2</v>
      </c>
      <c r="H42" s="24">
        <f>VLOOKUP($A42,CODIGOS!$B:$D,2,FALSE)</f>
        <v>946</v>
      </c>
      <c r="I42" s="147">
        <f t="shared" si="10"/>
        <v>44.34375</v>
      </c>
      <c r="J42" s="53">
        <f>IF(H42="S/STOCK","",IF($E42="",$D42*$H42,$E42*$H42))</f>
        <v>3547.5</v>
      </c>
      <c r="K42" s="131">
        <f>VLOOKUP($B42,CODIGOS!$A:$K,8,0)*$G42*1000</f>
        <v>7.2905999999999995</v>
      </c>
      <c r="L42" s="132">
        <f>VLOOKUP($B42,CODIGOS!$A:$K,9,0)*$G42*1000</f>
        <v>0.32682</v>
      </c>
      <c r="M42" s="132">
        <f>VLOOKUP($B42,CODIGOS!$A:$K,10,0)*$G42*1000</f>
        <v>0.10056</v>
      </c>
      <c r="N42" s="133">
        <f>VLOOKUP($B42,CODIGOS!$A:$K,11,0)*$G42*1000</f>
        <v>1.2821400000000001</v>
      </c>
    </row>
    <row r="43" spans="1:14" ht="13.5" customHeight="1" x14ac:dyDescent="0.2">
      <c r="A43" s="248" t="s">
        <v>2028</v>
      </c>
      <c r="B43" s="122" t="str">
        <f>VLOOKUP($A43,NSN!$A:$B,2,FALSE)</f>
        <v>C902636</v>
      </c>
      <c r="C43" s="123" t="str">
        <f>VLOOKUP($A43,CODIGOS!$B:$E,4,FALSE)</f>
        <v>900 ML</v>
      </c>
      <c r="D43" s="124">
        <f t="shared" si="9"/>
        <v>0.4</v>
      </c>
      <c r="E43" s="124">
        <f>IF(VLOOKUP($B43,CODIGOS!$A:$F,6,0)&lt;&gt;1000,(($F43*$I$3)/VLOOKUP($B43,CODIGOS!$A:$F,6,0)),"")</f>
        <v>0.44444444444444442</v>
      </c>
      <c r="F43" s="522">
        <v>5</v>
      </c>
      <c r="G43" s="135">
        <f>(F43/1000)*VLOOKUP($B43,CODIGOS!$A:$G,7,0)</f>
        <v>5.0000000000000001E-3</v>
      </c>
      <c r="H43" s="24">
        <f>VLOOKUP($A43,CODIGOS!$B:$D,2,FALSE)</f>
        <v>1500</v>
      </c>
      <c r="I43" s="147">
        <f t="shared" si="10"/>
        <v>8.3333333333333321</v>
      </c>
      <c r="J43" s="53">
        <f t="shared" ref="J43:J44" si="12">IF(H43="S/STOCK","",IF($E43="",$D43*$H43,$E43*$H43))</f>
        <v>666.66666666666663</v>
      </c>
      <c r="K43" s="131">
        <f>VLOOKUP($B43,CODIGOS!$A:$K,8,0)*$G43*1000</f>
        <v>44.2</v>
      </c>
      <c r="L43" s="132">
        <f>VLOOKUP($B43,CODIGOS!$A:$K,9,0)*$G43*1000</f>
        <v>0</v>
      </c>
      <c r="M43" s="132">
        <f>VLOOKUP($B43,CODIGOS!$A:$K,10,0)*$G43*1000</f>
        <v>5</v>
      </c>
      <c r="N43" s="133">
        <f>VLOOKUP($B43,CODIGOS!$A:$K,11,0)*$G43*1000</f>
        <v>0</v>
      </c>
    </row>
    <row r="44" spans="1:14" ht="13.5" customHeight="1" x14ac:dyDescent="0.2">
      <c r="A44" s="248" t="s">
        <v>653</v>
      </c>
      <c r="B44" s="122" t="str">
        <f>VLOOKUP($A44,NSN!$A:$B,2,FALSE)</f>
        <v>C000528</v>
      </c>
      <c r="C44" s="123" t="str">
        <f>VLOOKUP($A44,CODIGOS!$B:$E,4,FALSE)</f>
        <v>KG</v>
      </c>
      <c r="D44" s="124">
        <f t="shared" si="9"/>
        <v>0.04</v>
      </c>
      <c r="E44" s="124" t="str">
        <f>IF(VLOOKUP($B44,CODIGOS!$A:$F,6,0)&lt;&gt;1000,(($F44*$I$3)/VLOOKUP($B44,CODIGOS!$A:$F,6,0)),"")</f>
        <v/>
      </c>
      <c r="F44" s="522">
        <v>0.5</v>
      </c>
      <c r="G44" s="135">
        <f>(F44/1000)*VLOOKUP($B44,CODIGOS!$A:$G,7,0)</f>
        <v>5.0000000000000001E-4</v>
      </c>
      <c r="H44" s="24">
        <f>VLOOKUP($A44,CODIGOS!$B:$D,2,FALSE)</f>
        <v>375</v>
      </c>
      <c r="I44" s="147">
        <f t="shared" si="10"/>
        <v>0.1875</v>
      </c>
      <c r="J44" s="53">
        <f t="shared" si="12"/>
        <v>15</v>
      </c>
      <c r="K44" s="131">
        <f>VLOOKUP($B44,CODIGOS!$A:$K,8,0)*$G44*1000</f>
        <v>0</v>
      </c>
      <c r="L44" s="132">
        <f>VLOOKUP($B44,CODIGOS!$A:$K,9,0)*$G44*1000</f>
        <v>0</v>
      </c>
      <c r="M44" s="132">
        <f>VLOOKUP($B44,CODIGOS!$A:$K,10,0)*$G44*1000</f>
        <v>0</v>
      </c>
      <c r="N44" s="133">
        <f>VLOOKUP($B44,CODIGOS!$A:$K,11,0)*$G44*1000</f>
        <v>0</v>
      </c>
    </row>
    <row r="45" spans="1:14" ht="13.5" customHeight="1" x14ac:dyDescent="0.2">
      <c r="A45" s="248" t="s">
        <v>624</v>
      </c>
      <c r="B45" s="122" t="str">
        <f>VLOOKUP($A45,NSN!$A:$B,2,FALSE)</f>
        <v>C000801</v>
      </c>
      <c r="C45" s="123" t="str">
        <f>VLOOKUP($A45,CODIGOS!$B:$E,4,FALSE)</f>
        <v>KG</v>
      </c>
      <c r="D45" s="124">
        <f t="shared" si="9"/>
        <v>24</v>
      </c>
      <c r="E45" s="124" t="str">
        <f>IF(VLOOKUP($B45,CODIGOS!$A:$F,6,0)&lt;&gt;1000,(($F45*$I$3)/VLOOKUP($B45,CODIGOS!$A:$F,6,0)),"")</f>
        <v/>
      </c>
      <c r="F45" s="522">
        <v>300</v>
      </c>
      <c r="G45" s="125">
        <f>(F45/1000)*VLOOKUP($B45,CODIGOS!$A:$G,7,0)</f>
        <v>0.2361</v>
      </c>
      <c r="H45" s="24">
        <f>VLOOKUP($A45,CODIGOS!$B:$D,2,FALSE)</f>
        <v>674</v>
      </c>
      <c r="I45" s="24">
        <f t="shared" si="10"/>
        <v>202.2</v>
      </c>
      <c r="J45" s="24">
        <f>IF(H45="S/STOCK","",IF($E45="",$D45*$H45,$E45*$H45))</f>
        <v>16176</v>
      </c>
      <c r="K45" s="125">
        <f>VLOOKUP($B45,CODIGOS!$A:$K,8,0)*$G45*1000</f>
        <v>188.88000000000002</v>
      </c>
      <c r="L45" s="125">
        <f>VLOOKUP($B45,CODIGOS!$A:$K,9,0)*$G45*1000</f>
        <v>7.3191000000000006</v>
      </c>
      <c r="M45" s="125">
        <f>VLOOKUP($B45,CODIGOS!$A:$K,10,0)*$G45*1000</f>
        <v>0.47220000000000006</v>
      </c>
      <c r="N45" s="221">
        <f>VLOOKUP($B45,CODIGOS!$A:$K,11,0)*$G45*1000</f>
        <v>38.956500000000005</v>
      </c>
    </row>
    <row r="46" spans="1:14" ht="13.5" customHeight="1" x14ac:dyDescent="0.2">
      <c r="A46" s="248" t="s">
        <v>412</v>
      </c>
      <c r="B46" s="122" t="str">
        <f>VLOOKUP($A46,NSN!$A:$B,2,FALSE)</f>
        <v>C903335</v>
      </c>
      <c r="C46" s="123" t="str">
        <f>VLOOKUP($A46,CODIGOS!$B:$E,4,FALSE)</f>
        <v>800 grs</v>
      </c>
      <c r="D46" s="124">
        <f t="shared" si="9"/>
        <v>0.8</v>
      </c>
      <c r="E46" s="124">
        <f>IF(VLOOKUP($B46,CODIGOS!$A:$F,6,0)&lt;&gt;1000,(($F46*$I$3)/VLOOKUP($B46,CODIGOS!$A:$F,6,0)),"")</f>
        <v>1</v>
      </c>
      <c r="F46" s="522">
        <v>10</v>
      </c>
      <c r="G46" s="135">
        <f>(F46/1000)*VLOOKUP($B46,CODIGOS!$A:$G,7,0)</f>
        <v>0.01</v>
      </c>
      <c r="H46" s="24">
        <f>VLOOKUP($A46,CODIGOS!$B:$D,2,FALSE)</f>
        <v>4975</v>
      </c>
      <c r="I46" s="147">
        <f t="shared" si="10"/>
        <v>62.1875</v>
      </c>
      <c r="J46" s="53">
        <f>IF(H46="S/STOCK","",IF($E46="",$D46*$H46,$E46*$H46))</f>
        <v>4975</v>
      </c>
      <c r="K46" s="131">
        <f>VLOOKUP($B46,CODIGOS!$A:$K,8,0)*$G46*1000</f>
        <v>35.299999999999997</v>
      </c>
      <c r="L46" s="132">
        <f>VLOOKUP($B46,CODIGOS!$A:$K,9,0)*$G46*1000</f>
        <v>4.0100000000000007</v>
      </c>
      <c r="M46" s="132">
        <f>VLOOKUP($B46,CODIGOS!$A:$K,10,0)*$G46*1000</f>
        <v>0.01</v>
      </c>
      <c r="N46" s="133">
        <f>VLOOKUP($B46,CODIGOS!$A:$K,11,0)*$G46*1000</f>
        <v>4.79</v>
      </c>
    </row>
    <row r="47" spans="1:14" ht="13.5" customHeight="1" x14ac:dyDescent="0.2">
      <c r="A47" s="248" t="s">
        <v>565</v>
      </c>
      <c r="B47" s="122" t="str">
        <f>VLOOKUP($A47,NSN!$A:$B,2,FALSE)</f>
        <v>V000192</v>
      </c>
      <c r="C47" s="123" t="str">
        <f>VLOOKUP($A47,CODIGOS!$B:$E,4,FALSE)</f>
        <v>KG</v>
      </c>
      <c r="D47" s="124">
        <f t="shared" si="9"/>
        <v>0.4</v>
      </c>
      <c r="E47" s="124" t="str">
        <f>IF(VLOOKUP($B47,CODIGOS!$A:$F,6,0)&lt;&gt;1000,(($F47*$I$3)/VLOOKUP($B47,CODIGOS!$A:$F,6,0)),"")</f>
        <v/>
      </c>
      <c r="F47" s="522">
        <v>5</v>
      </c>
      <c r="G47" s="135">
        <f>(F47/1000)*VLOOKUP($B47,CODIGOS!$A:$G,7,0)</f>
        <v>5.0000000000000001E-3</v>
      </c>
      <c r="H47" s="24">
        <f>VLOOKUP($A47,CODIGOS!$B:$D,2,FALSE)</f>
        <v>4450</v>
      </c>
      <c r="I47" s="147">
        <f t="shared" si="10"/>
        <v>22.25</v>
      </c>
      <c r="J47" s="53">
        <f t="shared" ref="J47:J48" si="13">IF(H47="S/STOCK","",IF($E47="",$D47*$H47,$E47*$H47))</f>
        <v>1780</v>
      </c>
      <c r="K47" s="131">
        <f>VLOOKUP($B47,CODIGOS!$A:$K,8,0)*$G47*1000</f>
        <v>37.299999999999997</v>
      </c>
      <c r="L47" s="132">
        <f>VLOOKUP($B47,CODIGOS!$A:$K,9,0)*$G47*1000</f>
        <v>4.5000000000000005E-2</v>
      </c>
      <c r="M47" s="132">
        <f>VLOOKUP($B47,CODIGOS!$A:$K,10,0)*$G47*1000</f>
        <v>4.1450000000000005</v>
      </c>
      <c r="N47" s="133">
        <f>VLOOKUP($B47,CODIGOS!$A:$K,11,0)*$G47*1000</f>
        <v>5.0000000000000001E-3</v>
      </c>
    </row>
    <row r="48" spans="1:14" ht="13.5" customHeight="1" x14ac:dyDescent="0.2">
      <c r="A48" s="248" t="s">
        <v>653</v>
      </c>
      <c r="B48" s="122" t="str">
        <f>VLOOKUP($A48,NSN!$A:$B,2,FALSE)</f>
        <v>C000528</v>
      </c>
      <c r="C48" s="123" t="str">
        <f>VLOOKUP($A48,CODIGOS!$B:$E,4,FALSE)</f>
        <v>KG</v>
      </c>
      <c r="D48" s="124">
        <f t="shared" si="9"/>
        <v>0.04</v>
      </c>
      <c r="E48" s="124" t="str">
        <f>IF(VLOOKUP($B48,CODIGOS!$A:$F,6,0)&lt;&gt;1000,(($F48*$I$3)/VLOOKUP($B48,CODIGOS!$A:$F,6,0)),"")</f>
        <v/>
      </c>
      <c r="F48" s="522">
        <v>0.5</v>
      </c>
      <c r="G48" s="135">
        <f>(F48/1000)*VLOOKUP($B48,CODIGOS!$A:$G,7,0)</f>
        <v>5.0000000000000001E-4</v>
      </c>
      <c r="H48" s="24">
        <f>VLOOKUP($A48,CODIGOS!$B:$D,2,FALSE)</f>
        <v>375</v>
      </c>
      <c r="I48" s="147">
        <f t="shared" si="10"/>
        <v>0.1875</v>
      </c>
      <c r="J48" s="53">
        <f t="shared" si="13"/>
        <v>15</v>
      </c>
      <c r="K48" s="131">
        <f>VLOOKUP($B48,CODIGOS!$A:$K,8,0)*$G48*1000</f>
        <v>0</v>
      </c>
      <c r="L48" s="132">
        <f>VLOOKUP($B48,CODIGOS!$A:$K,9,0)*$G48*1000</f>
        <v>0</v>
      </c>
      <c r="M48" s="132">
        <f>VLOOKUP($B48,CODIGOS!$A:$K,10,0)*$G48*1000</f>
        <v>0</v>
      </c>
      <c r="N48" s="133">
        <f>VLOOKUP($B48,CODIGOS!$A:$K,11,0)*$G48*1000</f>
        <v>0</v>
      </c>
    </row>
    <row r="49" spans="1:14" ht="13.5" customHeight="1" thickBot="1" x14ac:dyDescent="0.25">
      <c r="A49" s="248" t="s">
        <v>309</v>
      </c>
      <c r="B49" s="148" t="str">
        <f>VLOOKUP($A49,NSN!$A:$B,2,FALSE)</f>
        <v>C902851</v>
      </c>
      <c r="C49" s="149" t="str">
        <f>VLOOKUP($A49,CODIGOS!$B:$E,4,FALSE)</f>
        <v>KG</v>
      </c>
      <c r="D49" s="150">
        <f t="shared" si="9"/>
        <v>1.6</v>
      </c>
      <c r="E49" s="150" t="str">
        <f>IF(VLOOKUP($B49,CODIGOS!$A:$F,6,0)&lt;&gt;1000,(($F49*$I$3)/VLOOKUP($B49,CODIGOS!$A:$F,6,0)),"")</f>
        <v/>
      </c>
      <c r="F49" s="502">
        <v>20</v>
      </c>
      <c r="G49" s="137">
        <f>(F49/1000)*VLOOKUP($B49,CODIGOS!$A:$G,7,0)</f>
        <v>0.02</v>
      </c>
      <c r="H49" s="222">
        <f>VLOOKUP($A49,CODIGOS!$B:$D,2,FALSE)</f>
        <v>2418</v>
      </c>
      <c r="I49" s="222">
        <f t="shared" si="10"/>
        <v>48.36</v>
      </c>
      <c r="J49" s="222">
        <f t="shared" si="11"/>
        <v>3868.8</v>
      </c>
      <c r="K49" s="137">
        <f>VLOOKUP($B49,CODIGOS!$A:$K,8,0)*$G49*1000</f>
        <v>74.800000000000011</v>
      </c>
      <c r="L49" s="137">
        <f>VLOOKUP($B49,CODIGOS!$A:$K,9,0)*$G49*1000</f>
        <v>0.5</v>
      </c>
      <c r="M49" s="137">
        <f>VLOOKUP($B49,CODIGOS!$A:$K,10,0)*$G49*1000</f>
        <v>0.44000000000000006</v>
      </c>
      <c r="N49" s="223">
        <f>VLOOKUP($B49,CODIGOS!$A:$K,11,0)*$G49*1000</f>
        <v>17.2</v>
      </c>
    </row>
    <row r="50" spans="1:14" ht="13.5" customHeight="1" thickBot="1" x14ac:dyDescent="0.25">
      <c r="A50" s="17" t="s">
        <v>627</v>
      </c>
      <c r="B50" s="33"/>
      <c r="C50" s="18"/>
      <c r="D50" s="126"/>
      <c r="E50" s="126"/>
      <c r="F50" s="211"/>
      <c r="G50" s="19"/>
      <c r="H50" s="41"/>
      <c r="I50" s="224">
        <f t="shared" ref="I50:N50" si="14">SUM(I33:I49)</f>
        <v>1308.5137976190474</v>
      </c>
      <c r="J50" s="225">
        <f t="shared" si="14"/>
        <v>104681.1038095238</v>
      </c>
      <c r="K50" s="226">
        <f t="shared" si="14"/>
        <v>801.71559999999999</v>
      </c>
      <c r="L50" s="226">
        <f t="shared" si="14"/>
        <v>38.398739999999997</v>
      </c>
      <c r="M50" s="226">
        <f t="shared" si="14"/>
        <v>18.738520000000001</v>
      </c>
      <c r="N50" s="227">
        <f t="shared" si="14"/>
        <v>119.45728000000001</v>
      </c>
    </row>
    <row r="51" spans="1:14" ht="13.5" customHeight="1" thickBot="1" x14ac:dyDescent="0.25">
      <c r="A51" s="17" t="s">
        <v>627</v>
      </c>
      <c r="B51" s="17"/>
      <c r="C51" s="18"/>
      <c r="D51" s="19"/>
      <c r="E51" s="19"/>
      <c r="F51" s="213"/>
      <c r="G51" s="19"/>
      <c r="H51" s="26"/>
      <c r="I51" s="42"/>
      <c r="J51" s="42" t="s">
        <v>892</v>
      </c>
      <c r="K51" s="232">
        <f>K18+K31+K50</f>
        <v>2157.6815000000001</v>
      </c>
      <c r="L51" s="233">
        <f>L18+L31+L50</f>
        <v>107.51758000000001</v>
      </c>
      <c r="M51" s="233">
        <f>M18+M31+M50</f>
        <v>51.004170000000002</v>
      </c>
      <c r="N51" s="234">
        <f>N18+N31+N50</f>
        <v>315.31693000000001</v>
      </c>
    </row>
    <row r="52" spans="1:14" ht="13.5" customHeight="1" thickBot="1" x14ac:dyDescent="0.25">
      <c r="A52" s="17" t="s">
        <v>627</v>
      </c>
      <c r="B52" s="17"/>
      <c r="C52" s="17"/>
      <c r="D52" s="19"/>
      <c r="E52" s="19"/>
      <c r="F52" s="213"/>
      <c r="G52" s="19"/>
      <c r="H52" s="19"/>
      <c r="I52" s="19"/>
      <c r="J52" s="22"/>
      <c r="K52" s="22"/>
      <c r="L52" s="17"/>
      <c r="M52" s="17"/>
      <c r="N52" s="17"/>
    </row>
    <row r="53" spans="1:14" ht="13.5" customHeight="1" thickBot="1" x14ac:dyDescent="0.25">
      <c r="A53" s="99" t="s">
        <v>17</v>
      </c>
      <c r="B53" s="100" t="s">
        <v>94</v>
      </c>
      <c r="C53" s="101" t="s">
        <v>18</v>
      </c>
      <c r="D53" s="101" t="s">
        <v>103</v>
      </c>
      <c r="E53" s="101"/>
      <c r="F53" s="214" t="s">
        <v>891</v>
      </c>
      <c r="G53" s="101" t="s">
        <v>91</v>
      </c>
      <c r="H53" s="101" t="s">
        <v>19</v>
      </c>
      <c r="I53" s="101" t="s">
        <v>45</v>
      </c>
      <c r="J53" s="102" t="s">
        <v>20</v>
      </c>
      <c r="K53" s="102" t="s">
        <v>43</v>
      </c>
      <c r="L53" s="103" t="s">
        <v>44</v>
      </c>
      <c r="M53" s="104" t="s">
        <v>207</v>
      </c>
      <c r="N53" s="105" t="s">
        <v>208</v>
      </c>
    </row>
    <row r="54" spans="1:14" ht="13.5" customHeight="1" thickBot="1" x14ac:dyDescent="0.25">
      <c r="A54" s="106" t="s">
        <v>216</v>
      </c>
      <c r="B54" s="107"/>
      <c r="C54" s="107"/>
      <c r="D54" s="107"/>
      <c r="E54" s="107"/>
      <c r="F54" s="212"/>
      <c r="G54" s="107"/>
      <c r="H54" s="107"/>
      <c r="I54" s="107"/>
      <c r="J54" s="107"/>
      <c r="K54" s="107"/>
      <c r="L54" s="107"/>
      <c r="M54" s="107"/>
      <c r="N54" s="108"/>
    </row>
    <row r="55" spans="1:14" ht="13.5" customHeight="1" x14ac:dyDescent="0.2">
      <c r="A55" s="248" t="s">
        <v>410</v>
      </c>
      <c r="B55" s="141" t="str">
        <f>VLOOKUP($A55,NSN!$A:$B,2,FALSE)</f>
        <v>C000367</v>
      </c>
      <c r="C55" s="142" t="str">
        <f>VLOOKUP($A55,CODIGOS!$B:$E,4,FALSE)</f>
        <v>KG</v>
      </c>
      <c r="D55" s="143">
        <f>($F55*$I$3)/1000</f>
        <v>11.428800000000001</v>
      </c>
      <c r="E55" s="143" t="str">
        <f>IF(VLOOKUP($B55,CODIGOS!$A:$F,6,0)&lt;&gt;1000,(($F55*$I$3)/VLOOKUP($B55,CODIGOS!$A:$F,6,0)),"")</f>
        <v/>
      </c>
      <c r="F55" s="215">
        <v>142.86000000000001</v>
      </c>
      <c r="G55" s="144">
        <f>(F55/1000)*VLOOKUP($B55,CODIGOS!$A:$G,7,0)</f>
        <v>0.14286000000000001</v>
      </c>
      <c r="H55" s="25">
        <f>VLOOKUP($A55,CODIGOS!$B:$D,2,FALSE)</f>
        <v>794</v>
      </c>
      <c r="I55" s="25">
        <f>IF($H55="S/STOCK","",$J55/$I$3)</f>
        <v>113.43084000000002</v>
      </c>
      <c r="J55" s="25">
        <f>IF(H55="S/STOCK","",IF($E55="",$D55*$H55,$E55*$H55))</f>
        <v>9074.467200000001</v>
      </c>
      <c r="K55" s="144">
        <f>VLOOKUP($B55,CODIGOS!$A:$K,8,0)*$G55*1000</f>
        <v>497.15280000000007</v>
      </c>
      <c r="L55" s="144">
        <f>VLOOKUP($B55,CODIGOS!$A:$K,9,0)*$G55*1000</f>
        <v>11.428800000000001</v>
      </c>
      <c r="M55" s="144">
        <f>VLOOKUP($B55,CODIGOS!$A:$K,10,0)*$G55*1000</f>
        <v>1.7143200000000003</v>
      </c>
      <c r="N55" s="220">
        <f>VLOOKUP($B55,CODIGOS!$A:$K,11,0)*$G55*1000</f>
        <v>109.14504000000001</v>
      </c>
    </row>
    <row r="56" spans="1:14" ht="13.5" customHeight="1" x14ac:dyDescent="0.2">
      <c r="A56" s="248" t="s">
        <v>394</v>
      </c>
      <c r="B56" s="122" t="str">
        <f>VLOOKUP($A56,NSN!$A:$B,2,FALSE)</f>
        <v>C000816</v>
      </c>
      <c r="C56" s="123" t="str">
        <f>VLOOKUP($A56,CODIGOS!$B:$E,4,FALSE)</f>
        <v>KG</v>
      </c>
      <c r="D56" s="124">
        <f>($F56*$I$3)/1000</f>
        <v>0.11439999999999999</v>
      </c>
      <c r="E56" s="124" t="str">
        <f>IF(VLOOKUP($B56,CODIGOS!$A:$F,6,0)&lt;&gt;1000,(($F56*$I$3)/VLOOKUP($B56,CODIGOS!$A:$F,6,0)),"")</f>
        <v/>
      </c>
      <c r="F56" s="216">
        <v>1.43</v>
      </c>
      <c r="G56" s="125">
        <f>(F56/1000)*VLOOKUP($B56,CODIGOS!$A:$G,7,0)</f>
        <v>1.4299999999999998E-3</v>
      </c>
      <c r="H56" s="24">
        <f>VLOOKUP($A56,CODIGOS!$B:$D,2,FALSE)</f>
        <v>1128</v>
      </c>
      <c r="I56" s="24">
        <f>IF($H56="S/STOCK","",$J56/$I$3)</f>
        <v>1.6130399999999998</v>
      </c>
      <c r="J56" s="24">
        <f>IF(H56="S/STOCK","",IF($E56="",$D56*$H56,$E56*$H56))</f>
        <v>129.04319999999998</v>
      </c>
      <c r="K56" s="125">
        <f>VLOOKUP($B56,CODIGOS!$A:$K,8,0)*$G56*1000</f>
        <v>5.6913999999999989</v>
      </c>
      <c r="L56" s="125">
        <f>VLOOKUP($B56,CODIGOS!$A:$K,9,0)*$G56*1000</f>
        <v>0</v>
      </c>
      <c r="M56" s="125">
        <f>VLOOKUP($B56,CODIGOS!$A:$K,10,0)*$G56*1000</f>
        <v>0</v>
      </c>
      <c r="N56" s="221">
        <f>VLOOKUP($B56,CODIGOS!$A:$K,11,0)*$G56*1000</f>
        <v>1.4228499999999997</v>
      </c>
    </row>
    <row r="57" spans="1:14" ht="13.5" customHeight="1" x14ac:dyDescent="0.2">
      <c r="A57" s="248" t="s">
        <v>563</v>
      </c>
      <c r="B57" s="122" t="str">
        <f>VLOOKUP($A57,NSN!$A:$B,2,FALSE)</f>
        <v>V000518</v>
      </c>
      <c r="C57" s="123" t="str">
        <f>VLOOKUP($A57,CODIGOS!$B:$E,4,FALSE)</f>
        <v>EA</v>
      </c>
      <c r="D57" s="124">
        <f>($F57*$I$3)/1000</f>
        <v>0.68559999999999999</v>
      </c>
      <c r="E57" s="124" t="str">
        <f>IF(VLOOKUP($B57,CODIGOS!$A:$F,6,0)&lt;&gt;1000,(($F57*$I$3)/VLOOKUP($B57,CODIGOS!$A:$F,6,0)),"")</f>
        <v/>
      </c>
      <c r="F57" s="216">
        <v>8.57</v>
      </c>
      <c r="G57" s="125">
        <f>(F57/1000)*VLOOKUP($B57,CODIGOS!$A:$G,7,0)</f>
        <v>8.5699999999999995E-3</v>
      </c>
      <c r="H57" s="24">
        <f>VLOOKUP($A57,CODIGOS!$B:$D,2,FALSE)</f>
        <v>3203</v>
      </c>
      <c r="I57" s="24">
        <f>IF($H57="S/STOCK","",$J57/$I$3)</f>
        <v>27.44971</v>
      </c>
      <c r="J57" s="24">
        <f>IF(H57="S/STOCK","",IF($E57="",$D57*$H57,$E57*$H57))</f>
        <v>2195.9767999999999</v>
      </c>
      <c r="K57" s="125">
        <f>VLOOKUP($B57,CODIGOS!$A:$K,8,0)*$G57*1000</f>
        <v>76.872899999999987</v>
      </c>
      <c r="L57" s="125">
        <f>VLOOKUP($B57,CODIGOS!$A:$K,9,0)*$G57*1000</f>
        <v>0</v>
      </c>
      <c r="M57" s="125">
        <f>VLOOKUP($B57,CODIGOS!$A:$K,10,0)*$G57*1000</f>
        <v>8.5442900000000002</v>
      </c>
      <c r="N57" s="221">
        <f>VLOOKUP($B57,CODIGOS!$A:$K,11,0)*$G57*1000</f>
        <v>0</v>
      </c>
    </row>
    <row r="58" spans="1:14" ht="13.5" customHeight="1" x14ac:dyDescent="0.2">
      <c r="A58" s="248" t="s">
        <v>266</v>
      </c>
      <c r="B58" s="122" t="str">
        <f>VLOOKUP($A58,NSN!$A:$B,2,FALSE)</f>
        <v>V000174</v>
      </c>
      <c r="C58" s="123" t="str">
        <f>VLOOKUP($A58,CODIGOS!$B:$E,4,FALSE)</f>
        <v>KG</v>
      </c>
      <c r="D58" s="124">
        <f>($F58*$I$3)/1000</f>
        <v>0.11439999999999999</v>
      </c>
      <c r="E58" s="124" t="str">
        <f>IF(VLOOKUP($B58,CODIGOS!$A:$F,6,0)&lt;&gt;1000,(($F58*$I$3)/VLOOKUP($B58,CODIGOS!$A:$F,6,0)),"")</f>
        <v/>
      </c>
      <c r="F58" s="216">
        <v>1.43</v>
      </c>
      <c r="G58" s="125">
        <f>(F58/1000)*VLOOKUP($B58,CODIGOS!$A:$G,7,0)</f>
        <v>1.4299999999999998E-3</v>
      </c>
      <c r="H58" s="24">
        <f>VLOOKUP($A58,CODIGOS!$B:$D,2,FALSE)</f>
        <v>8887</v>
      </c>
      <c r="I58" s="24">
        <f>IF($H58="S/STOCK","",$J58/$I$3)</f>
        <v>12.708409999999999</v>
      </c>
      <c r="J58" s="24">
        <f>IF(H58="S/STOCK","",IF($E58="",$D58*$H58,$E58*$H58))</f>
        <v>1016.6727999999999</v>
      </c>
      <c r="K58" s="125">
        <f>VLOOKUP($B58,CODIGOS!$A:$K,8,0)*$G58*1000</f>
        <v>6.1489999999999991</v>
      </c>
      <c r="L58" s="125">
        <f>VLOOKUP($B58,CODIGOS!$A:$K,9,0)*$G58*1000</f>
        <v>0.67209999999999992</v>
      </c>
      <c r="M58" s="125">
        <f>VLOOKUP($B58,CODIGOS!$A:$K,10,0)*$G58*1000</f>
        <v>0.10009999999999999</v>
      </c>
      <c r="N58" s="221">
        <f>VLOOKUP($B58,CODIGOS!$A:$K,11,0)*$G58*1000</f>
        <v>0.51479999999999992</v>
      </c>
    </row>
    <row r="59" spans="1:14" ht="13.5" customHeight="1" thickBot="1" x14ac:dyDescent="0.25">
      <c r="A59" s="248" t="s">
        <v>653</v>
      </c>
      <c r="B59" s="148" t="str">
        <f>VLOOKUP($A59,NSN!$A:$B,2,FALSE)</f>
        <v>C000528</v>
      </c>
      <c r="C59" s="149" t="str">
        <f>VLOOKUP($A59,CODIGOS!$B:$E,4,FALSE)</f>
        <v>KG</v>
      </c>
      <c r="D59" s="150">
        <f>($F59*$I$3)/1000</f>
        <v>0.16</v>
      </c>
      <c r="E59" s="150" t="str">
        <f>IF(VLOOKUP($B59,CODIGOS!$A:$F,6,0)&lt;&gt;1000,(($F59*$I$3)/VLOOKUP($B59,CODIGOS!$A:$F,6,0)),"")</f>
        <v/>
      </c>
      <c r="F59" s="217">
        <v>2</v>
      </c>
      <c r="G59" s="137">
        <f>(F59/1000)*VLOOKUP($B59,CODIGOS!$A:$G,7,0)</f>
        <v>2E-3</v>
      </c>
      <c r="H59" s="222">
        <f>VLOOKUP($A59,CODIGOS!$B:$D,2,FALSE)</f>
        <v>375</v>
      </c>
      <c r="I59" s="222">
        <f>IF($H59="S/STOCK","",$J59/$I$3)</f>
        <v>0.75</v>
      </c>
      <c r="J59" s="222">
        <f>IF(H59="S/STOCK","",IF($E59="",$D59*$H59,$E59*$H59))</f>
        <v>60</v>
      </c>
      <c r="K59" s="137">
        <f>VLOOKUP($B59,CODIGOS!$A:$K,8,0)*$G59*1000</f>
        <v>0</v>
      </c>
      <c r="L59" s="137">
        <f>VLOOKUP($B59,CODIGOS!$A:$K,9,0)*$G59*1000</f>
        <v>0</v>
      </c>
      <c r="M59" s="137">
        <f>VLOOKUP($B59,CODIGOS!$A:$K,10,0)*$G59*1000</f>
        <v>0</v>
      </c>
      <c r="N59" s="223">
        <f>VLOOKUP($B59,CODIGOS!$A:$K,11,0)*$G59*1000</f>
        <v>0</v>
      </c>
    </row>
    <row r="60" spans="1:14" ht="13.5" customHeight="1" thickBot="1" x14ac:dyDescent="0.25">
      <c r="A60" s="17" t="s">
        <v>627</v>
      </c>
      <c r="B60" s="33"/>
      <c r="C60" s="18"/>
      <c r="D60" s="126"/>
      <c r="E60" s="126"/>
      <c r="F60" s="211"/>
      <c r="G60" s="19"/>
      <c r="H60" s="41"/>
      <c r="I60" s="224">
        <f t="shared" ref="I60:N60" si="15">SUM(I55:I59)</f>
        <v>155.952</v>
      </c>
      <c r="J60" s="225">
        <f t="shared" si="15"/>
        <v>12476.160000000002</v>
      </c>
      <c r="K60" s="226">
        <f t="shared" si="15"/>
        <v>585.86610000000007</v>
      </c>
      <c r="L60" s="226">
        <f t="shared" si="15"/>
        <v>12.100900000000001</v>
      </c>
      <c r="M60" s="226">
        <f t="shared" si="15"/>
        <v>10.35871</v>
      </c>
      <c r="N60" s="227">
        <f t="shared" si="15"/>
        <v>111.08269</v>
      </c>
    </row>
    <row r="61" spans="1:14" ht="13.5" customHeight="1" x14ac:dyDescent="0.2">
      <c r="A61" s="37" t="s">
        <v>627</v>
      </c>
      <c r="B61" s="33"/>
      <c r="C61" s="18"/>
      <c r="D61" s="19"/>
      <c r="E61" s="19"/>
      <c r="F61" s="213"/>
      <c r="G61" s="19"/>
      <c r="H61" s="41"/>
      <c r="I61" s="39"/>
      <c r="J61" s="39"/>
      <c r="K61" s="39"/>
      <c r="L61" s="17"/>
      <c r="M61" s="17"/>
      <c r="N61" s="17"/>
    </row>
    <row r="62" spans="1:14" ht="13.5" customHeight="1" x14ac:dyDescent="0.2">
      <c r="A62" s="37"/>
      <c r="B62" s="37"/>
      <c r="C62" s="37"/>
      <c r="D62" s="39"/>
      <c r="E62" s="39"/>
      <c r="F62" s="39"/>
      <c r="G62" s="39"/>
      <c r="H62" s="39"/>
      <c r="I62" s="39"/>
      <c r="J62" s="39"/>
      <c r="K62" s="39"/>
      <c r="L62" s="17"/>
      <c r="M62" s="17"/>
      <c r="N62" s="17"/>
    </row>
    <row r="63" spans="1:14" ht="13.5" customHeight="1" x14ac:dyDescent="0.2">
      <c r="A63" s="37"/>
      <c r="B63" s="37"/>
      <c r="C63" s="37"/>
      <c r="D63" s="39"/>
      <c r="E63" s="39"/>
      <c r="F63" s="39"/>
      <c r="G63" s="39"/>
      <c r="H63" s="39"/>
      <c r="I63" s="39"/>
      <c r="J63" s="39"/>
      <c r="K63" s="39"/>
      <c r="L63" s="17"/>
      <c r="M63" s="17"/>
      <c r="N63" s="17"/>
    </row>
    <row r="64" spans="1:14" ht="13.5" customHeight="1" x14ac:dyDescent="0.2">
      <c r="A64" s="37"/>
      <c r="B64" s="37"/>
      <c r="C64" s="37"/>
      <c r="D64" s="39"/>
      <c r="E64" s="39"/>
      <c r="F64" s="39"/>
      <c r="G64" s="39"/>
      <c r="H64" s="39"/>
      <c r="I64" s="39"/>
      <c r="J64" s="39"/>
      <c r="K64" s="39"/>
      <c r="L64" s="17"/>
      <c r="M64" s="17"/>
      <c r="N64" s="17"/>
    </row>
    <row r="65" spans="1:14" ht="13.5" customHeight="1" x14ac:dyDescent="0.2">
      <c r="A65" s="37"/>
      <c r="B65" s="37"/>
      <c r="C65" s="37"/>
      <c r="D65" s="39"/>
      <c r="E65" s="39"/>
      <c r="F65" s="39"/>
      <c r="G65" s="39"/>
      <c r="H65" s="39"/>
      <c r="I65" s="39"/>
      <c r="J65" s="39"/>
      <c r="K65" s="39"/>
      <c r="L65" s="17"/>
      <c r="M65" s="17"/>
      <c r="N65" s="17"/>
    </row>
    <row r="66" spans="1:14" ht="13.5" customHeight="1" x14ac:dyDescent="0.2">
      <c r="A66" s="37"/>
      <c r="B66" s="37"/>
      <c r="C66" s="37"/>
      <c r="D66" s="187"/>
      <c r="E66" s="187"/>
      <c r="F66" s="187"/>
      <c r="G66" s="39"/>
      <c r="H66" s="39"/>
      <c r="I66" s="39"/>
      <c r="J66" s="39"/>
      <c r="K66" s="39"/>
      <c r="L66" s="17"/>
      <c r="M66" s="17"/>
      <c r="N66" s="17"/>
    </row>
    <row r="67" spans="1:14" ht="13.5" customHeight="1" x14ac:dyDescent="0.2">
      <c r="A67" s="37"/>
      <c r="B67" s="37"/>
      <c r="C67" s="37"/>
      <c r="D67" s="187"/>
      <c r="E67" s="187"/>
      <c r="F67" s="187"/>
      <c r="G67" s="39"/>
      <c r="H67" s="39"/>
      <c r="I67" s="39"/>
      <c r="J67" s="39"/>
      <c r="K67" s="39"/>
      <c r="L67" s="17"/>
      <c r="M67" s="17"/>
      <c r="N67" s="17"/>
    </row>
    <row r="68" spans="1:14" ht="13.5" customHeight="1" x14ac:dyDescent="0.2">
      <c r="A68" s="37"/>
      <c r="B68" s="37"/>
      <c r="C68" s="37"/>
      <c r="D68" s="39"/>
      <c r="E68" s="39"/>
      <c r="F68" s="39"/>
      <c r="G68" s="39"/>
      <c r="H68" s="39"/>
      <c r="I68" s="39"/>
      <c r="J68" s="39"/>
      <c r="K68" s="39"/>
      <c r="L68" s="17"/>
      <c r="M68" s="17"/>
      <c r="N68" s="17"/>
    </row>
    <row r="69" spans="1:14" ht="13.5" customHeight="1" x14ac:dyDescent="0.2">
      <c r="A69" s="37"/>
      <c r="B69" s="37"/>
      <c r="C69" s="37"/>
      <c r="D69" s="39"/>
      <c r="E69" s="39"/>
      <c r="F69" s="39"/>
      <c r="G69" s="39"/>
      <c r="H69" s="39"/>
      <c r="I69" s="39"/>
      <c r="J69" s="39"/>
      <c r="K69" s="39"/>
      <c r="L69" s="17"/>
      <c r="M69" s="17"/>
      <c r="N69" s="17"/>
    </row>
    <row r="70" spans="1:14" ht="13.5" customHeight="1" x14ac:dyDescent="0.2">
      <c r="A70" s="37"/>
      <c r="B70" s="37"/>
      <c r="C70" s="37"/>
      <c r="D70" s="39"/>
      <c r="E70" s="39"/>
      <c r="F70" s="39"/>
      <c r="G70" s="39"/>
      <c r="H70" s="39"/>
      <c r="I70" s="39"/>
      <c r="J70" s="39"/>
      <c r="K70" s="39"/>
      <c r="L70" s="17"/>
      <c r="M70" s="17"/>
      <c r="N70" s="17"/>
    </row>
    <row r="71" spans="1:14" ht="13.5" customHeight="1" x14ac:dyDescent="0.2">
      <c r="A71" s="37"/>
      <c r="B71" s="37"/>
      <c r="C71" s="37"/>
      <c r="D71" s="39"/>
      <c r="E71" s="39"/>
      <c r="F71" s="39"/>
      <c r="G71" s="39"/>
      <c r="H71" s="39"/>
      <c r="I71" s="39"/>
      <c r="J71" s="39"/>
      <c r="K71" s="39"/>
      <c r="L71" s="17"/>
      <c r="M71" s="17"/>
      <c r="N71" s="17"/>
    </row>
    <row r="72" spans="1:14" ht="13.5" customHeight="1" x14ac:dyDescent="0.2">
      <c r="A72" s="37"/>
      <c r="B72" s="37"/>
      <c r="C72" s="37"/>
      <c r="D72" s="39"/>
      <c r="E72" s="39"/>
      <c r="F72" s="39"/>
      <c r="G72" s="39"/>
      <c r="H72" s="39"/>
      <c r="I72" s="39"/>
      <c r="J72" s="39"/>
      <c r="K72" s="39"/>
      <c r="L72" s="17"/>
      <c r="M72" s="17"/>
      <c r="N72" s="17"/>
    </row>
    <row r="73" spans="1:14" ht="13.5" customHeight="1" x14ac:dyDescent="0.2">
      <c r="A73" s="37"/>
      <c r="B73" s="37"/>
      <c r="C73" s="37"/>
      <c r="D73" s="39"/>
      <c r="E73" s="39"/>
      <c r="F73" s="39"/>
      <c r="G73" s="39"/>
      <c r="H73" s="39"/>
      <c r="I73" s="39"/>
      <c r="J73" s="39"/>
      <c r="K73" s="39"/>
      <c r="L73" s="17"/>
      <c r="M73" s="17"/>
      <c r="N73" s="17"/>
    </row>
    <row r="74" spans="1:14" ht="13.5" customHeight="1" x14ac:dyDescent="0.2">
      <c r="A74" s="37"/>
      <c r="B74" s="37"/>
      <c r="C74" s="37"/>
      <c r="D74" s="39"/>
      <c r="E74" s="39"/>
      <c r="F74" s="39"/>
      <c r="G74" s="39"/>
      <c r="H74" s="39"/>
      <c r="I74" s="39"/>
      <c r="J74" s="39"/>
      <c r="K74" s="39"/>
      <c r="L74" s="17"/>
      <c r="M74" s="17"/>
      <c r="N74" s="17"/>
    </row>
    <row r="75" spans="1:14" ht="13.5" customHeight="1" x14ac:dyDescent="0.2">
      <c r="A75" s="37"/>
      <c r="B75" s="37"/>
      <c r="C75" s="37"/>
      <c r="D75" s="39"/>
      <c r="E75" s="39"/>
      <c r="F75" s="39"/>
      <c r="G75" s="39"/>
      <c r="H75" s="39"/>
      <c r="I75" s="39"/>
      <c r="J75" s="39"/>
      <c r="K75" s="39"/>
      <c r="L75" s="17"/>
      <c r="M75" s="17"/>
      <c r="N75" s="17"/>
    </row>
    <row r="76" spans="1:14" ht="13.5" customHeight="1" x14ac:dyDescent="0.2">
      <c r="A76" s="37"/>
      <c r="B76" s="37"/>
      <c r="C76" s="37"/>
      <c r="D76" s="39"/>
      <c r="E76" s="39"/>
      <c r="F76" s="39"/>
      <c r="G76" s="39"/>
      <c r="H76" s="39"/>
      <c r="I76" s="39"/>
      <c r="J76" s="39"/>
      <c r="K76" s="39"/>
      <c r="L76" s="17"/>
      <c r="M76" s="17"/>
      <c r="N76" s="17"/>
    </row>
    <row r="77" spans="1:14" ht="13.5" customHeight="1" x14ac:dyDescent="0.2">
      <c r="A77" s="37"/>
      <c r="B77" s="37"/>
      <c r="C77" s="37"/>
      <c r="D77" s="39"/>
      <c r="E77" s="39"/>
      <c r="F77" s="39"/>
      <c r="G77" s="39"/>
      <c r="H77" s="39"/>
      <c r="I77" s="39"/>
      <c r="J77" s="39"/>
      <c r="K77" s="39"/>
      <c r="L77" s="17"/>
      <c r="M77" s="17"/>
      <c r="N77" s="17"/>
    </row>
    <row r="78" spans="1:14" ht="13.5" customHeight="1" x14ac:dyDescent="0.2">
      <c r="A78" s="37"/>
      <c r="B78" s="37"/>
      <c r="C78" s="37"/>
      <c r="D78" s="39"/>
      <c r="E78" s="39"/>
      <c r="F78" s="39"/>
      <c r="G78" s="39"/>
      <c r="H78" s="39"/>
      <c r="I78" s="39"/>
      <c r="J78" s="39"/>
      <c r="K78" s="39"/>
      <c r="L78" s="17"/>
      <c r="M78" s="17"/>
      <c r="N78" s="17"/>
    </row>
    <row r="79" spans="1:14" ht="13.5" customHeight="1" x14ac:dyDescent="0.2">
      <c r="A79" s="37"/>
      <c r="B79" s="37"/>
      <c r="C79" s="37"/>
      <c r="D79" s="39"/>
      <c r="E79" s="39"/>
      <c r="F79" s="39"/>
      <c r="G79" s="39"/>
      <c r="H79" s="39"/>
      <c r="I79" s="39"/>
      <c r="J79" s="39"/>
      <c r="K79" s="39"/>
      <c r="L79" s="17"/>
      <c r="M79" s="17"/>
      <c r="N79" s="17"/>
    </row>
    <row r="80" spans="1:14" ht="13.5" customHeight="1" x14ac:dyDescent="0.2">
      <c r="A80" s="37"/>
      <c r="B80" s="37"/>
      <c r="C80" s="37"/>
      <c r="D80" s="39"/>
      <c r="E80" s="39"/>
      <c r="F80" s="39"/>
      <c r="G80" s="39"/>
      <c r="H80" s="39"/>
      <c r="I80" s="39"/>
      <c r="J80" s="39"/>
      <c r="K80" s="39"/>
      <c r="L80" s="17"/>
      <c r="M80" s="17"/>
      <c r="N80" s="17"/>
    </row>
    <row r="81" spans="1:14" ht="13.5" customHeight="1" x14ac:dyDescent="0.2">
      <c r="A81" s="37"/>
      <c r="B81" s="37"/>
      <c r="C81" s="37"/>
      <c r="D81" s="39"/>
      <c r="E81" s="39"/>
      <c r="F81" s="39"/>
      <c r="G81" s="39"/>
      <c r="H81" s="39"/>
      <c r="I81" s="39"/>
      <c r="J81" s="39"/>
      <c r="K81" s="39"/>
      <c r="L81" s="17"/>
      <c r="M81" s="17"/>
      <c r="N81" s="17"/>
    </row>
    <row r="82" spans="1:14" ht="13.5" customHeight="1" x14ac:dyDescent="0.2">
      <c r="A82" s="37"/>
      <c r="B82" s="37"/>
      <c r="C82" s="37"/>
      <c r="D82" s="39"/>
      <c r="E82" s="39"/>
      <c r="F82" s="39"/>
      <c r="G82" s="39"/>
      <c r="H82" s="39"/>
      <c r="I82" s="39"/>
      <c r="J82" s="39"/>
      <c r="K82" s="39"/>
      <c r="L82" s="17"/>
      <c r="M82" s="17"/>
      <c r="N82" s="17"/>
    </row>
    <row r="83" spans="1:14" ht="13.5" customHeight="1" x14ac:dyDescent="0.2">
      <c r="A83" s="37"/>
      <c r="B83" s="37"/>
      <c r="C83" s="37"/>
      <c r="D83" s="39"/>
      <c r="E83" s="39"/>
      <c r="F83" s="39"/>
      <c r="G83" s="39"/>
      <c r="H83" s="39"/>
      <c r="I83" s="39"/>
      <c r="J83" s="39"/>
      <c r="K83" s="39"/>
      <c r="L83" s="17"/>
      <c r="M83" s="17"/>
      <c r="N83" s="17"/>
    </row>
  </sheetData>
  <mergeCells count="4">
    <mergeCell ref="G2:H2"/>
    <mergeCell ref="G3:H3"/>
    <mergeCell ref="A1:N1"/>
    <mergeCell ref="Q10:T10"/>
  </mergeCells>
  <phoneticPr fontId="3" type="noConversion"/>
  <conditionalFormatting sqref="A12:A17 A20:A30 A33:A49">
    <cfRule type="expression" dxfId="122" priority="431" stopIfTrue="1">
      <formula>$H12="S/STOCK"</formula>
    </cfRule>
  </conditionalFormatting>
  <conditionalFormatting sqref="A55:A59">
    <cfRule type="expression" dxfId="121" priority="428" stopIfTrue="1">
      <formula>$H55="S/STOCK"</formula>
    </cfRule>
  </conditionalFormatting>
  <conditionalFormatting sqref="A49">
    <cfRule type="expression" dxfId="120" priority="397" stopIfTrue="1">
      <formula>$H49="S/STOCK"</formula>
    </cfRule>
  </conditionalFormatting>
  <conditionalFormatting sqref="A23">
    <cfRule type="expression" dxfId="119" priority="389" stopIfTrue="1">
      <formula>$H23="S/STOCK"</formula>
    </cfRule>
  </conditionalFormatting>
  <conditionalFormatting sqref="A37">
    <cfRule type="expression" dxfId="118" priority="365" stopIfTrue="1">
      <formula>$H37="S/STOCK"</formula>
    </cfRule>
  </conditionalFormatting>
  <conditionalFormatting sqref="A37">
    <cfRule type="expression" dxfId="117" priority="364" stopIfTrue="1">
      <formula>$H37="S/STOCK"</formula>
    </cfRule>
  </conditionalFormatting>
  <conditionalFormatting sqref="A37">
    <cfRule type="expression" dxfId="116" priority="363" stopIfTrue="1">
      <formula>$H37="S/STOCK"</formula>
    </cfRule>
  </conditionalFormatting>
  <conditionalFormatting sqref="A37">
    <cfRule type="expression" dxfId="115" priority="362" stopIfTrue="1">
      <formula>$H37="S/STOCK"</formula>
    </cfRule>
  </conditionalFormatting>
  <conditionalFormatting sqref="A36">
    <cfRule type="expression" dxfId="114" priority="361" stopIfTrue="1">
      <formula>$H36="S/STOCK"</formula>
    </cfRule>
  </conditionalFormatting>
  <conditionalFormatting sqref="A36">
    <cfRule type="expression" dxfId="113" priority="360" stopIfTrue="1">
      <formula>$H36="S/STOCK"</formula>
    </cfRule>
  </conditionalFormatting>
  <conditionalFormatting sqref="A36">
    <cfRule type="expression" dxfId="112" priority="359" stopIfTrue="1">
      <formula>$H36="S/STOCK"</formula>
    </cfRule>
  </conditionalFormatting>
  <conditionalFormatting sqref="A40">
    <cfRule type="expression" dxfId="111" priority="303" stopIfTrue="1">
      <formula>$H40="S/STOCK"</formula>
    </cfRule>
  </conditionalFormatting>
  <conditionalFormatting sqref="A40">
    <cfRule type="expression" dxfId="110" priority="302" stopIfTrue="1">
      <formula>$H40="S/STOCK"</formula>
    </cfRule>
  </conditionalFormatting>
  <conditionalFormatting sqref="A40">
    <cfRule type="expression" dxfId="109" priority="301" stopIfTrue="1">
      <formula>$H40="S/STOCK"</formula>
    </cfRule>
  </conditionalFormatting>
  <conditionalFormatting sqref="A40">
    <cfRule type="expression" dxfId="108" priority="300" stopIfTrue="1">
      <formula>$H40="S/STOCK"</formula>
    </cfRule>
  </conditionalFormatting>
  <conditionalFormatting sqref="A40">
    <cfRule type="expression" dxfId="107" priority="299" stopIfTrue="1">
      <formula>$H40="S/STOCK"</formula>
    </cfRule>
  </conditionalFormatting>
  <conditionalFormatting sqref="A30">
    <cfRule type="expression" dxfId="106" priority="287" stopIfTrue="1">
      <formula>$H30="S/STOCK"</formula>
    </cfRule>
  </conditionalFormatting>
  <conditionalFormatting sqref="A22">
    <cfRule type="expression" dxfId="105" priority="286" stopIfTrue="1">
      <formula>$H22="S/STOCK"</formula>
    </cfRule>
  </conditionalFormatting>
  <conditionalFormatting sqref="A22">
    <cfRule type="expression" dxfId="104" priority="285" stopIfTrue="1">
      <formula>$H22="S/STOCK"</formula>
    </cfRule>
  </conditionalFormatting>
  <conditionalFormatting sqref="A40">
    <cfRule type="expression" dxfId="103" priority="251" stopIfTrue="1">
      <formula>$H40="S/STOCK"</formula>
    </cfRule>
  </conditionalFormatting>
  <conditionalFormatting sqref="A40">
    <cfRule type="expression" dxfId="102" priority="250" stopIfTrue="1">
      <formula>$H40="S/STOCK"</formula>
    </cfRule>
  </conditionalFormatting>
  <conditionalFormatting sqref="A40">
    <cfRule type="expression" dxfId="101" priority="249" stopIfTrue="1">
      <formula>$H40="S/STOCK"</formula>
    </cfRule>
  </conditionalFormatting>
  <conditionalFormatting sqref="A40">
    <cfRule type="expression" dxfId="100" priority="248" stopIfTrue="1">
      <formula>$H40="S/STOCK"</formula>
    </cfRule>
  </conditionalFormatting>
  <conditionalFormatting sqref="A40">
    <cfRule type="expression" dxfId="99" priority="247" stopIfTrue="1">
      <formula>$H40="S/STOCK"</formula>
    </cfRule>
  </conditionalFormatting>
  <conditionalFormatting sqref="A40">
    <cfRule type="expression" dxfId="98" priority="246" stopIfTrue="1">
      <formula>$H40="S/STOCK"</formula>
    </cfRule>
  </conditionalFormatting>
  <conditionalFormatting sqref="A40">
    <cfRule type="expression" dxfId="97" priority="245" stopIfTrue="1">
      <formula>$H40="S/STOCK"</formula>
    </cfRule>
  </conditionalFormatting>
  <conditionalFormatting sqref="A38">
    <cfRule type="expression" dxfId="96" priority="244" stopIfTrue="1">
      <formula>$H38="S/STOCK"</formula>
    </cfRule>
  </conditionalFormatting>
  <conditionalFormatting sqref="A38">
    <cfRule type="expression" dxfId="95" priority="243" stopIfTrue="1">
      <formula>$H38="S/STOCK"</formula>
    </cfRule>
  </conditionalFormatting>
  <conditionalFormatting sqref="A38">
    <cfRule type="expression" dxfId="94" priority="242" stopIfTrue="1">
      <formula>$H38="S/STOCK"</formula>
    </cfRule>
  </conditionalFormatting>
  <conditionalFormatting sqref="A38">
    <cfRule type="expression" dxfId="93" priority="241" stopIfTrue="1">
      <formula>$H38="S/STOCK"</formula>
    </cfRule>
  </conditionalFormatting>
  <conditionalFormatting sqref="A38">
    <cfRule type="expression" dxfId="92" priority="240" stopIfTrue="1">
      <formula>$H38="S/STOCK"</formula>
    </cfRule>
  </conditionalFormatting>
  <conditionalFormatting sqref="A38">
    <cfRule type="expression" dxfId="91" priority="239" stopIfTrue="1">
      <formula>$H38="S/STOCK"</formula>
    </cfRule>
  </conditionalFormatting>
  <conditionalFormatting sqref="A38">
    <cfRule type="expression" dxfId="90" priority="238" stopIfTrue="1">
      <formula>$H38="S/STOCK"</formula>
    </cfRule>
  </conditionalFormatting>
  <conditionalFormatting sqref="A38">
    <cfRule type="expression" dxfId="89" priority="237" stopIfTrue="1">
      <formula>$H38="S/STOCK"</formula>
    </cfRule>
  </conditionalFormatting>
  <conditionalFormatting sqref="A38">
    <cfRule type="expression" dxfId="88" priority="236" stopIfTrue="1">
      <formula>$H38="S/STOCK"</formula>
    </cfRule>
  </conditionalFormatting>
  <conditionalFormatting sqref="A38">
    <cfRule type="expression" dxfId="87" priority="235" stopIfTrue="1">
      <formula>$H38="S/STOCK"</formula>
    </cfRule>
  </conditionalFormatting>
  <conditionalFormatting sqref="A38">
    <cfRule type="expression" dxfId="86" priority="234" stopIfTrue="1">
      <formula>$H38="S/STOCK"</formula>
    </cfRule>
  </conditionalFormatting>
  <conditionalFormatting sqref="A38">
    <cfRule type="expression" dxfId="85" priority="233" stopIfTrue="1">
      <formula>$H38="S/STOCK"</formula>
    </cfRule>
  </conditionalFormatting>
  <conditionalFormatting sqref="A38">
    <cfRule type="expression" dxfId="84" priority="232" stopIfTrue="1">
      <formula>$H38="S/STOCK"</formula>
    </cfRule>
  </conditionalFormatting>
  <conditionalFormatting sqref="A39">
    <cfRule type="expression" dxfId="83" priority="231" stopIfTrue="1">
      <formula>$H39="S/STOCK"</formula>
    </cfRule>
  </conditionalFormatting>
  <conditionalFormatting sqref="A39">
    <cfRule type="expression" dxfId="82" priority="230" stopIfTrue="1">
      <formula>$H39="S/STOCK"</formula>
    </cfRule>
  </conditionalFormatting>
  <conditionalFormatting sqref="A39">
    <cfRule type="expression" dxfId="81" priority="229" stopIfTrue="1">
      <formula>$H39="S/STOCK"</formula>
    </cfRule>
  </conditionalFormatting>
  <conditionalFormatting sqref="A39">
    <cfRule type="expression" dxfId="80" priority="228" stopIfTrue="1">
      <formula>$H39="S/STOCK"</formula>
    </cfRule>
  </conditionalFormatting>
  <conditionalFormatting sqref="A39">
    <cfRule type="expression" dxfId="79" priority="227" stopIfTrue="1">
      <formula>$H39="S/STOCK"</formula>
    </cfRule>
  </conditionalFormatting>
  <conditionalFormatting sqref="A39">
    <cfRule type="expression" dxfId="78" priority="226" stopIfTrue="1">
      <formula>$H39="S/STOCK"</formula>
    </cfRule>
  </conditionalFormatting>
  <conditionalFormatting sqref="A39">
    <cfRule type="expression" dxfId="77" priority="225" stopIfTrue="1">
      <formula>$H39="S/STOCK"</formula>
    </cfRule>
  </conditionalFormatting>
  <conditionalFormatting sqref="A27">
    <cfRule type="expression" dxfId="76" priority="197" stopIfTrue="1">
      <formula>$H27="S/STOCK"</formula>
    </cfRule>
  </conditionalFormatting>
  <conditionalFormatting sqref="A29">
    <cfRule type="expression" dxfId="75" priority="196" stopIfTrue="1">
      <formula>$H29="S/STOCK"</formula>
    </cfRule>
  </conditionalFormatting>
  <conditionalFormatting sqref="A29">
    <cfRule type="expression" dxfId="74" priority="195" stopIfTrue="1">
      <formula>$H29="S/STOCK"</formula>
    </cfRule>
  </conditionalFormatting>
  <conditionalFormatting sqref="A29">
    <cfRule type="expression" dxfId="73" priority="194" stopIfTrue="1">
      <formula>$H29="S/STOCK"</formula>
    </cfRule>
  </conditionalFormatting>
  <conditionalFormatting sqref="A29">
    <cfRule type="expression" dxfId="72" priority="193" stopIfTrue="1">
      <formula>$H29="S/STOCK"</formula>
    </cfRule>
  </conditionalFormatting>
  <conditionalFormatting sqref="A27">
    <cfRule type="expression" dxfId="71" priority="192" stopIfTrue="1">
      <formula>$H27="S/STOCK"</formula>
    </cfRule>
  </conditionalFormatting>
  <conditionalFormatting sqref="A27">
    <cfRule type="expression" dxfId="70" priority="191" stopIfTrue="1">
      <formula>$H27="S/STOCK"</formula>
    </cfRule>
  </conditionalFormatting>
  <conditionalFormatting sqref="A27">
    <cfRule type="expression" dxfId="69" priority="190" stopIfTrue="1">
      <formula>$H27="S/STOCK"</formula>
    </cfRule>
  </conditionalFormatting>
  <conditionalFormatting sqref="A27">
    <cfRule type="expression" dxfId="68" priority="189" stopIfTrue="1">
      <formula>$H27="S/STOCK"</formula>
    </cfRule>
  </conditionalFormatting>
  <conditionalFormatting sqref="A27">
    <cfRule type="expression" dxfId="67" priority="188" stopIfTrue="1">
      <formula>$H27="S/STOCK"</formula>
    </cfRule>
  </conditionalFormatting>
  <conditionalFormatting sqref="A47">
    <cfRule type="expression" dxfId="66" priority="78" stopIfTrue="1">
      <formula>$H47="S/STOCK"</formula>
    </cfRule>
  </conditionalFormatting>
  <conditionalFormatting sqref="A47">
    <cfRule type="expression" dxfId="65" priority="77" stopIfTrue="1">
      <formula>$H47="S/STOCK"</formula>
    </cfRule>
  </conditionalFormatting>
  <conditionalFormatting sqref="A47">
    <cfRule type="expression" dxfId="64" priority="76" stopIfTrue="1">
      <formula>$H47="S/STOCK"</formula>
    </cfRule>
  </conditionalFormatting>
  <conditionalFormatting sqref="A47">
    <cfRule type="expression" dxfId="63" priority="75" stopIfTrue="1">
      <formula>$H47="S/STOCK"</formula>
    </cfRule>
  </conditionalFormatting>
  <conditionalFormatting sqref="A47">
    <cfRule type="expression" dxfId="62" priority="74" stopIfTrue="1">
      <formula>$H47="S/STOCK"</formula>
    </cfRule>
  </conditionalFormatting>
  <conditionalFormatting sqref="A47">
    <cfRule type="expression" dxfId="61" priority="73" stopIfTrue="1">
      <formula>$H47="S/STOCK"</formula>
    </cfRule>
  </conditionalFormatting>
  <conditionalFormatting sqref="A47">
    <cfRule type="expression" dxfId="60" priority="72" stopIfTrue="1">
      <formula>$H47="S/STOCK"</formula>
    </cfRule>
  </conditionalFormatting>
  <conditionalFormatting sqref="A47">
    <cfRule type="expression" dxfId="59" priority="71" stopIfTrue="1">
      <formula>$H47="S/STOCK"</formula>
    </cfRule>
  </conditionalFormatting>
  <conditionalFormatting sqref="A47">
    <cfRule type="expression" dxfId="58" priority="70" stopIfTrue="1">
      <formula>$H47="S/STOCK"</formula>
    </cfRule>
  </conditionalFormatting>
  <conditionalFormatting sqref="A47">
    <cfRule type="expression" dxfId="57" priority="69" stopIfTrue="1">
      <formula>$H47="S/STOCK"</formula>
    </cfRule>
  </conditionalFormatting>
  <conditionalFormatting sqref="A47">
    <cfRule type="expression" dxfId="56" priority="68" stopIfTrue="1">
      <formula>$H47="S/STOCK"</formula>
    </cfRule>
  </conditionalFormatting>
  <conditionalFormatting sqref="A47">
    <cfRule type="expression" dxfId="55" priority="67" stopIfTrue="1">
      <formula>$H47="S/STOCK"</formula>
    </cfRule>
  </conditionalFormatting>
  <conditionalFormatting sqref="A41">
    <cfRule type="expression" dxfId="54" priority="66" stopIfTrue="1">
      <formula>$H41="S/STOCK"</formula>
    </cfRule>
  </conditionalFormatting>
  <conditionalFormatting sqref="A41">
    <cfRule type="expression" dxfId="53" priority="65" stopIfTrue="1">
      <formula>$H41="S/STOCK"</formula>
    </cfRule>
  </conditionalFormatting>
  <conditionalFormatting sqref="A41">
    <cfRule type="expression" dxfId="52" priority="64" stopIfTrue="1">
      <formula>$H41="S/STOCK"</formula>
    </cfRule>
  </conditionalFormatting>
  <conditionalFormatting sqref="A41">
    <cfRule type="expression" dxfId="51" priority="63" stopIfTrue="1">
      <formula>$H41="S/STOCK"</formula>
    </cfRule>
  </conditionalFormatting>
  <conditionalFormatting sqref="A41">
    <cfRule type="expression" dxfId="50" priority="62" stopIfTrue="1">
      <formula>$H41="S/STOCK"</formula>
    </cfRule>
  </conditionalFormatting>
  <conditionalFormatting sqref="A41">
    <cfRule type="expression" dxfId="49" priority="61" stopIfTrue="1">
      <formula>$H41="S/STOCK"</formula>
    </cfRule>
  </conditionalFormatting>
  <conditionalFormatting sqref="A41">
    <cfRule type="expression" dxfId="48" priority="60" stopIfTrue="1">
      <formula>$H41="S/STOCK"</formula>
    </cfRule>
  </conditionalFormatting>
  <conditionalFormatting sqref="A41">
    <cfRule type="expression" dxfId="47" priority="59" stopIfTrue="1">
      <formula>$H41="S/STOCK"</formula>
    </cfRule>
  </conditionalFormatting>
  <conditionalFormatting sqref="A41">
    <cfRule type="expression" dxfId="46" priority="58" stopIfTrue="1">
      <formula>$H41="S/STOCK"</formula>
    </cfRule>
  </conditionalFormatting>
  <conditionalFormatting sqref="A41">
    <cfRule type="expression" dxfId="45" priority="57" stopIfTrue="1">
      <formula>$H41="S/STOCK"</formula>
    </cfRule>
  </conditionalFormatting>
  <conditionalFormatting sqref="A41">
    <cfRule type="expression" dxfId="44" priority="56" stopIfTrue="1">
      <formula>$H41="S/STOCK"</formula>
    </cfRule>
  </conditionalFormatting>
  <conditionalFormatting sqref="A41">
    <cfRule type="expression" dxfId="43" priority="55" stopIfTrue="1">
      <formula>$H41="S/STOCK"</formula>
    </cfRule>
  </conditionalFormatting>
  <conditionalFormatting sqref="A41">
    <cfRule type="expression" dxfId="42" priority="54" stopIfTrue="1">
      <formula>$H41="S/STOCK"</formula>
    </cfRule>
  </conditionalFormatting>
  <conditionalFormatting sqref="A46">
    <cfRule type="expression" dxfId="41" priority="53" stopIfTrue="1">
      <formula>$H46="S/STOCK"</formula>
    </cfRule>
  </conditionalFormatting>
  <conditionalFormatting sqref="A46">
    <cfRule type="expression" dxfId="40" priority="52" stopIfTrue="1">
      <formula>$H46="S/STOCK"</formula>
    </cfRule>
  </conditionalFormatting>
  <conditionalFormatting sqref="A46">
    <cfRule type="expression" dxfId="39" priority="51" stopIfTrue="1">
      <formula>$H46="S/STOCK"</formula>
    </cfRule>
  </conditionalFormatting>
  <conditionalFormatting sqref="A46">
    <cfRule type="expression" dxfId="38" priority="50" stopIfTrue="1">
      <formula>$H46="S/STOCK"</formula>
    </cfRule>
  </conditionalFormatting>
  <conditionalFormatting sqref="A46">
    <cfRule type="expression" dxfId="37" priority="49" stopIfTrue="1">
      <formula>$H46="S/STOCK"</formula>
    </cfRule>
  </conditionalFormatting>
  <conditionalFormatting sqref="A46">
    <cfRule type="expression" dxfId="36" priority="48" stopIfTrue="1">
      <formula>$H46="S/STOCK"</formula>
    </cfRule>
  </conditionalFormatting>
  <conditionalFormatting sqref="A46">
    <cfRule type="expression" dxfId="35" priority="47" stopIfTrue="1">
      <formula>$H46="S/STOCK"</formula>
    </cfRule>
  </conditionalFormatting>
  <conditionalFormatting sqref="A43">
    <cfRule type="expression" dxfId="34" priority="32" stopIfTrue="1">
      <formula>$H43="S/STOCK"</formula>
    </cfRule>
  </conditionalFormatting>
  <conditionalFormatting sqref="A43">
    <cfRule type="expression" dxfId="33" priority="31" stopIfTrue="1">
      <formula>$H43="S/STOCK"</formula>
    </cfRule>
  </conditionalFormatting>
  <conditionalFormatting sqref="A43">
    <cfRule type="expression" dxfId="32" priority="30" stopIfTrue="1">
      <formula>$H43="S/STOCK"</formula>
    </cfRule>
  </conditionalFormatting>
  <conditionalFormatting sqref="A43">
    <cfRule type="expression" dxfId="31" priority="29" stopIfTrue="1">
      <formula>$H43="S/STOCK"</formula>
    </cfRule>
  </conditionalFormatting>
  <conditionalFormatting sqref="A43">
    <cfRule type="expression" dxfId="30" priority="28" stopIfTrue="1">
      <formula>$H43="S/STOCK"</formula>
    </cfRule>
  </conditionalFormatting>
  <conditionalFormatting sqref="A43">
    <cfRule type="expression" dxfId="29" priority="27" stopIfTrue="1">
      <formula>$H43="S/STOCK"</formula>
    </cfRule>
  </conditionalFormatting>
  <conditionalFormatting sqref="A43">
    <cfRule type="expression" dxfId="28" priority="26" stopIfTrue="1">
      <formula>$H43="S/STOCK"</formula>
    </cfRule>
  </conditionalFormatting>
  <conditionalFormatting sqref="A43">
    <cfRule type="expression" dxfId="27" priority="25" stopIfTrue="1">
      <formula>$H43="S/STOCK"</formula>
    </cfRule>
  </conditionalFormatting>
  <conditionalFormatting sqref="A43">
    <cfRule type="expression" dxfId="26" priority="24" stopIfTrue="1">
      <formula>$H43="S/STOCK"</formula>
    </cfRule>
  </conditionalFormatting>
  <conditionalFormatting sqref="A43">
    <cfRule type="expression" dxfId="25" priority="23" stopIfTrue="1">
      <formula>$H43="S/STOCK"</formula>
    </cfRule>
  </conditionalFormatting>
  <conditionalFormatting sqref="A43">
    <cfRule type="expression" dxfId="24" priority="22" stopIfTrue="1">
      <formula>$H43="S/STOCK"</formula>
    </cfRule>
  </conditionalFormatting>
  <conditionalFormatting sqref="A43">
    <cfRule type="expression" dxfId="23" priority="21" stopIfTrue="1">
      <formula>$H43="S/STOCK"</formula>
    </cfRule>
  </conditionalFormatting>
  <conditionalFormatting sqref="A42">
    <cfRule type="expression" dxfId="22" priority="20" stopIfTrue="1">
      <formula>$H42="S/STOCK"</formula>
    </cfRule>
  </conditionalFormatting>
  <conditionalFormatting sqref="A42">
    <cfRule type="expression" dxfId="21" priority="19" stopIfTrue="1">
      <formula>$H42="S/STOCK"</formula>
    </cfRule>
  </conditionalFormatting>
  <conditionalFormatting sqref="A42">
    <cfRule type="expression" dxfId="20" priority="18" stopIfTrue="1">
      <formula>$H42="S/STOCK"</formula>
    </cfRule>
  </conditionalFormatting>
  <conditionalFormatting sqref="A42">
    <cfRule type="expression" dxfId="19" priority="17" stopIfTrue="1">
      <formula>$H42="S/STOCK"</formula>
    </cfRule>
  </conditionalFormatting>
  <conditionalFormatting sqref="A42">
    <cfRule type="expression" dxfId="18" priority="16" stopIfTrue="1">
      <formula>$H42="S/STOCK"</formula>
    </cfRule>
  </conditionalFormatting>
  <conditionalFormatting sqref="A42">
    <cfRule type="expression" dxfId="17" priority="15" stopIfTrue="1">
      <formula>$H42="S/STOCK"</formula>
    </cfRule>
  </conditionalFormatting>
  <conditionalFormatting sqref="A42">
    <cfRule type="expression" dxfId="16" priority="14" stopIfTrue="1">
      <formula>$H42="S/STOCK"</formula>
    </cfRule>
  </conditionalFormatting>
  <conditionalFormatting sqref="A45">
    <cfRule type="expression" dxfId="15" priority="13" stopIfTrue="1">
      <formula>$H45="S/STOCK"</formula>
    </cfRule>
  </conditionalFormatting>
  <conditionalFormatting sqref="A45">
    <cfRule type="expression" dxfId="14" priority="12" stopIfTrue="1">
      <formula>$H45="S/STOCK"</formula>
    </cfRule>
  </conditionalFormatting>
  <conditionalFormatting sqref="A45">
    <cfRule type="expression" dxfId="13" priority="11" stopIfTrue="1">
      <formula>$H45="S/STOCK"</formula>
    </cfRule>
  </conditionalFormatting>
  <conditionalFormatting sqref="A45">
    <cfRule type="expression" dxfId="12" priority="10" stopIfTrue="1">
      <formula>$H45="S/STOCK"</formula>
    </cfRule>
  </conditionalFormatting>
  <conditionalFormatting sqref="A45">
    <cfRule type="expression" dxfId="11" priority="9" stopIfTrue="1">
      <formula>$H45="S/STOCK"</formula>
    </cfRule>
  </conditionalFormatting>
  <conditionalFormatting sqref="A45">
    <cfRule type="expression" dxfId="10" priority="8" stopIfTrue="1">
      <formula>$H45="S/STOCK"</formula>
    </cfRule>
  </conditionalFormatting>
  <conditionalFormatting sqref="A45">
    <cfRule type="expression" dxfId="9" priority="7" stopIfTrue="1">
      <formula>$H45="S/STOCK"</formula>
    </cfRule>
  </conditionalFormatting>
  <conditionalFormatting sqref="A45">
    <cfRule type="expression" dxfId="8" priority="6" stopIfTrue="1">
      <formula>$H45="S/STOCK"</formula>
    </cfRule>
  </conditionalFormatting>
  <conditionalFormatting sqref="A45">
    <cfRule type="expression" dxfId="7" priority="5" stopIfTrue="1">
      <formula>$H45="S/STOCK"</formula>
    </cfRule>
  </conditionalFormatting>
  <conditionalFormatting sqref="A45">
    <cfRule type="expression" dxfId="6" priority="4" stopIfTrue="1">
      <formula>$H45="S/STOCK"</formula>
    </cfRule>
  </conditionalFormatting>
  <conditionalFormatting sqref="A45">
    <cfRule type="expression" dxfId="5" priority="3" stopIfTrue="1">
      <formula>$H45="S/STOCK"</formula>
    </cfRule>
  </conditionalFormatting>
  <conditionalFormatting sqref="A45">
    <cfRule type="expression" dxfId="4" priority="2" stopIfTrue="1">
      <formula>$H45="S/STOCK"</formula>
    </cfRule>
  </conditionalFormatting>
  <conditionalFormatting sqref="A45">
    <cfRule type="expression" dxfId="3" priority="1" stopIfTrue="1">
      <formula>$H45="S/STOCK"</formula>
    </cfRule>
  </conditionalFormatting>
  <dataValidations count="1">
    <dataValidation type="list" allowBlank="1" showInputMessage="1" showErrorMessage="1" sqref="A55:A59 A33:A49 A12:A17 A20:A30">
      <formula1>INGREDIENTES</formula1>
    </dataValidation>
  </dataValidations>
  <pageMargins left="0.25" right="0.25" top="0.75" bottom="0.75" header="0.3" footer="0.3"/>
  <pageSetup scale="48" firstPageNumber="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  <pageSetUpPr fitToPage="1"/>
  </sheetPr>
  <dimension ref="A1:I13"/>
  <sheetViews>
    <sheetView showGridLines="0" zoomScaleSheetLayoutView="90" workbookViewId="0">
      <selection sqref="A1:E3"/>
    </sheetView>
  </sheetViews>
  <sheetFormatPr baseColWidth="10" defaultColWidth="11.42578125" defaultRowHeight="12.75" x14ac:dyDescent="0.2"/>
  <cols>
    <col min="1" max="1" width="13.5703125" style="8" customWidth="1"/>
    <col min="2" max="5" width="15" style="8" customWidth="1"/>
    <col min="6" max="6" width="19.140625" style="8" customWidth="1"/>
    <col min="7" max="7" width="11.85546875" style="8" customWidth="1"/>
    <col min="8" max="8" width="14.85546875" style="8" customWidth="1"/>
    <col min="9" max="9" width="11.5703125" style="8" customWidth="1"/>
    <col min="10" max="16384" width="11.42578125" style="4"/>
  </cols>
  <sheetData>
    <row r="1" spans="1:9" ht="23.25" customHeight="1" x14ac:dyDescent="0.2">
      <c r="A1" s="599" t="s">
        <v>286</v>
      </c>
      <c r="B1" s="599"/>
      <c r="C1" s="599"/>
      <c r="D1" s="599"/>
      <c r="E1" s="599"/>
      <c r="F1" s="51"/>
      <c r="G1" s="7"/>
      <c r="H1" s="7"/>
      <c r="I1" s="7"/>
    </row>
    <row r="2" spans="1:9" ht="23.25" customHeight="1" x14ac:dyDescent="0.2">
      <c r="A2" s="599"/>
      <c r="B2" s="599"/>
      <c r="C2" s="599"/>
      <c r="D2" s="599"/>
      <c r="E2" s="599"/>
      <c r="F2" s="51"/>
      <c r="G2" s="7"/>
      <c r="H2" s="7"/>
      <c r="I2" s="7"/>
    </row>
    <row r="3" spans="1:9" ht="18" customHeight="1" x14ac:dyDescent="0.2">
      <c r="A3" s="599"/>
      <c r="B3" s="599"/>
      <c r="C3" s="599"/>
      <c r="D3" s="599"/>
      <c r="E3" s="599"/>
      <c r="F3" s="51"/>
      <c r="G3" s="7"/>
      <c r="H3" s="7"/>
      <c r="I3" s="7"/>
    </row>
    <row r="4" spans="1:9" ht="19.5" customHeight="1" x14ac:dyDescent="0.2">
      <c r="A4" s="182" t="s">
        <v>46</v>
      </c>
      <c r="B4" s="182" t="s">
        <v>43</v>
      </c>
      <c r="C4" s="182" t="s">
        <v>44</v>
      </c>
      <c r="D4" s="182" t="s">
        <v>207</v>
      </c>
      <c r="E4" s="182" t="s">
        <v>208</v>
      </c>
      <c r="F4" s="13"/>
      <c r="G4" s="9"/>
      <c r="H4" s="3"/>
      <c r="I4" s="5"/>
    </row>
    <row r="5" spans="1:9" ht="13.5" customHeight="1" x14ac:dyDescent="0.2">
      <c r="A5" s="183" t="s">
        <v>2</v>
      </c>
      <c r="B5" s="180">
        <f>VLOOKUP("MACRONUTRIENTES",LUNES!$J:$N,2,0)</f>
        <v>2326.2419930000001</v>
      </c>
      <c r="C5" s="180">
        <f>VLOOKUP("MACRONUTRIENTES",LUNES!$J:$N,3,0)</f>
        <v>95.817077299999994</v>
      </c>
      <c r="D5" s="180">
        <f>VLOOKUP("MACRONUTRIENTES",LUNES!$J:$N,4,0)</f>
        <v>70.164521399999998</v>
      </c>
      <c r="E5" s="180">
        <f>VLOOKUP("MACRONUTRIENTES",LUNES!$J:$N,5,0)</f>
        <v>328.75700570000004</v>
      </c>
      <c r="F5" s="13"/>
      <c r="G5" s="9"/>
      <c r="H5" s="3"/>
      <c r="I5" s="5"/>
    </row>
    <row r="6" spans="1:9" ht="13.5" customHeight="1" x14ac:dyDescent="0.2">
      <c r="A6" s="183" t="s">
        <v>3</v>
      </c>
      <c r="B6" s="181">
        <f>VLOOKUP("MACRONUTRIENTES",MARTES!$J:$N,2,0)</f>
        <v>2066.9518000000003</v>
      </c>
      <c r="C6" s="181">
        <f>VLOOKUP("MACRONUTRIENTES",MARTES!$J:$N,3,0)</f>
        <v>92.948459999999983</v>
      </c>
      <c r="D6" s="181">
        <f>VLOOKUP("MACRONUTRIENTES",MARTES!$J:$N,4,0)</f>
        <v>46.717659999999995</v>
      </c>
      <c r="E6" s="181">
        <f>VLOOKUP("MACRONUTRIENTES",MARTES!$J:$N,5,0)</f>
        <v>327.68331999999998</v>
      </c>
      <c r="F6" s="13"/>
      <c r="G6" s="9"/>
      <c r="H6" s="3"/>
      <c r="I6" s="5"/>
    </row>
    <row r="7" spans="1:9" s="2" customFormat="1" ht="13.5" customHeight="1" x14ac:dyDescent="0.25">
      <c r="A7" s="183" t="s">
        <v>24</v>
      </c>
      <c r="B7" s="181">
        <f>VLOOKUP("MACRONUTRIENTES",MIERCOLES!$J:$N,2,0)</f>
        <v>2383.013715</v>
      </c>
      <c r="C7" s="181">
        <f>VLOOKUP("MACRONUTRIENTES",MIERCOLES!$J:$N,3,0)</f>
        <v>102.0469635</v>
      </c>
      <c r="D7" s="181">
        <f>VLOOKUP("MACRONUTRIENTES",MIERCOLES!$J:$N,4,0)</f>
        <v>62.661781000000005</v>
      </c>
      <c r="E7" s="181">
        <f>VLOOKUP("MACRONUTRIENTES",MIERCOLES!$J:$N,5,0)</f>
        <v>353.02491550000002</v>
      </c>
      <c r="F7" s="14"/>
      <c r="G7" s="9"/>
      <c r="H7" s="6"/>
      <c r="I7" s="5"/>
    </row>
    <row r="8" spans="1:9" s="2" customFormat="1" ht="13.5" customHeight="1" x14ac:dyDescent="0.25">
      <c r="A8" s="183" t="s">
        <v>5</v>
      </c>
      <c r="B8" s="181">
        <f>VLOOKUP("MACRONUTRIENTES",JUEVES!$J:$N,2,0)</f>
        <v>2066.046789</v>
      </c>
      <c r="C8" s="181">
        <f>VLOOKUP("MACRONUTRIENTES",JUEVES!$J:$N,3,0)</f>
        <v>103.6100869</v>
      </c>
      <c r="D8" s="181">
        <f>VLOOKUP("MACRONUTRIENTES",JUEVES!$J:$N,4,0)</f>
        <v>52.488605199999995</v>
      </c>
      <c r="E8" s="181">
        <f>VLOOKUP("MACRONUTRIENTES",JUEVES!$J:$N,5,0)</f>
        <v>290.60766510000002</v>
      </c>
      <c r="F8" s="14"/>
      <c r="G8" s="9"/>
      <c r="H8" s="9"/>
      <c r="I8" s="10"/>
    </row>
    <row r="9" spans="1:9" s="2" customFormat="1" ht="13.5" customHeight="1" x14ac:dyDescent="0.25">
      <c r="A9" s="183" t="s">
        <v>6</v>
      </c>
      <c r="B9" s="181">
        <f>VLOOKUP("MACRONUTRIENTES",VIERNES!$J:$N,2,0)</f>
        <v>2424.1615300000003</v>
      </c>
      <c r="C9" s="181">
        <f>VLOOKUP("MACRONUTRIENTES",VIERNES!$J:$N,3,0)</f>
        <v>96.444836999999993</v>
      </c>
      <c r="D9" s="181">
        <f>VLOOKUP("MACRONUTRIENTES",VIERNES!$J:$N,4,0)</f>
        <v>79.036732000000001</v>
      </c>
      <c r="E9" s="181">
        <f>VLOOKUP("MACRONUTRIENTES",VIERNES!$J:$N,5,0)</f>
        <v>330.81882100000001</v>
      </c>
      <c r="F9" s="14"/>
      <c r="H9" s="598"/>
      <c r="I9" s="598"/>
    </row>
    <row r="10" spans="1:9" s="2" customFormat="1" ht="13.5" customHeight="1" x14ac:dyDescent="0.25">
      <c r="A10" s="183" t="s">
        <v>26</v>
      </c>
      <c r="B10" s="181">
        <f>VLOOKUP("MACRONUTRIENTES",SABADO!$J:$N,2,0)</f>
        <v>2133.26566</v>
      </c>
      <c r="C10" s="181">
        <f>VLOOKUP("MACRONUTRIENTES",SABADO!$J:$N,3,0)</f>
        <v>106.193654</v>
      </c>
      <c r="D10" s="181">
        <f>VLOOKUP("MACRONUTRIENTES",SABADO!$J:$N,4,0)</f>
        <v>59.628204000000004</v>
      </c>
      <c r="E10" s="181">
        <f>VLOOKUP("MACRONUTRIENTES",SABADO!$J:$N,5,0)</f>
        <v>301.23902199999998</v>
      </c>
      <c r="F10" s="15"/>
    </row>
    <row r="11" spans="1:9" s="2" customFormat="1" ht="13.5" customHeight="1" x14ac:dyDescent="0.25">
      <c r="A11" s="183" t="s">
        <v>8</v>
      </c>
      <c r="B11" s="181">
        <f>VLOOKUP("MACRONUTRIENTES",DOMINGO!$J:$N,2,0)</f>
        <v>2157.6815000000001</v>
      </c>
      <c r="C11" s="181">
        <f>VLOOKUP("MACRONUTRIENTES",DOMINGO!$J:$N,3,0)</f>
        <v>107.51758000000001</v>
      </c>
      <c r="D11" s="181">
        <f>VLOOKUP("MACRONUTRIENTES",DOMINGO!$J:$N,4,0)</f>
        <v>51.004170000000002</v>
      </c>
      <c r="E11" s="181">
        <f>VLOOKUP("MACRONUTRIENTES",DOMINGO!$J:$N,5,0)</f>
        <v>315.31693000000001</v>
      </c>
      <c r="F11" s="16"/>
    </row>
    <row r="12" spans="1:9" s="2" customFormat="1" ht="16.5" x14ac:dyDescent="0.25">
      <c r="A12" s="184" t="s">
        <v>95</v>
      </c>
      <c r="B12" s="185">
        <f>AVERAGE(B$5:B$11)</f>
        <v>2222.4804267142858</v>
      </c>
      <c r="C12" s="185">
        <f>AVERAGE(C$5:C$11)</f>
        <v>100.65409409999999</v>
      </c>
      <c r="D12" s="185">
        <f>AVERAGE(D$5:D$11)</f>
        <v>60.243096228571424</v>
      </c>
      <c r="E12" s="185">
        <f>AVERAGE(E$5:E$11)</f>
        <v>321.06395418571435</v>
      </c>
      <c r="F12" s="11"/>
    </row>
    <row r="13" spans="1:9" s="2" customFormat="1" ht="15.75" x14ac:dyDescent="0.25">
      <c r="A13" s="12"/>
      <c r="B13" s="12"/>
      <c r="C13" s="12"/>
      <c r="D13" s="12"/>
      <c r="E13" s="12"/>
      <c r="F13" s="11"/>
    </row>
  </sheetData>
  <mergeCells count="2">
    <mergeCell ref="H9:I9"/>
    <mergeCell ref="A1:E3"/>
  </mergeCells>
  <phoneticPr fontId="3" type="noConversion"/>
  <pageMargins left="0.25" right="0.25" top="0.75" bottom="0.75" header="0.3" footer="0.3"/>
  <pageSetup scale="91" firstPageNumber="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84"/>
  <sheetViews>
    <sheetView showGridLines="0" zoomScaleSheetLayoutView="100" workbookViewId="0"/>
  </sheetViews>
  <sheetFormatPr baseColWidth="10" defaultRowHeight="12.75" x14ac:dyDescent="0.2"/>
  <cols>
    <col min="1" max="1" width="51.140625" style="334" bestFit="1" customWidth="1"/>
    <col min="2" max="2" width="12.5703125" style="334" bestFit="1" customWidth="1"/>
    <col min="9" max="9" width="11.42578125" style="1"/>
  </cols>
  <sheetData>
    <row r="1" spans="1:6" x14ac:dyDescent="0.2">
      <c r="A1" s="98" t="s">
        <v>47</v>
      </c>
      <c r="B1" s="98" t="s">
        <v>48</v>
      </c>
    </row>
    <row r="2" spans="1:6" x14ac:dyDescent="0.2">
      <c r="A2" s="75" t="s">
        <v>393</v>
      </c>
      <c r="B2" s="75" t="s">
        <v>146</v>
      </c>
      <c r="D2" s="70"/>
      <c r="E2" s="70" t="s">
        <v>396</v>
      </c>
      <c r="F2" s="70" t="s">
        <v>397</v>
      </c>
    </row>
    <row r="3" spans="1:6" x14ac:dyDescent="0.2">
      <c r="A3" s="75" t="s">
        <v>2028</v>
      </c>
      <c r="B3" s="75" t="s">
        <v>2029</v>
      </c>
      <c r="D3" s="70"/>
      <c r="E3" s="70"/>
      <c r="F3" s="70"/>
    </row>
    <row r="4" spans="1:6" x14ac:dyDescent="0.2">
      <c r="A4" s="75" t="s">
        <v>2058</v>
      </c>
      <c r="B4" s="75" t="s">
        <v>2059</v>
      </c>
      <c r="D4" s="70"/>
      <c r="E4" s="70"/>
      <c r="F4" s="70"/>
    </row>
    <row r="5" spans="1:6" x14ac:dyDescent="0.2">
      <c r="A5" s="75" t="s">
        <v>373</v>
      </c>
      <c r="B5" s="75" t="s">
        <v>374</v>
      </c>
      <c r="D5" s="71"/>
      <c r="E5" s="71" t="s">
        <v>398</v>
      </c>
      <c r="F5" s="71" t="s">
        <v>397</v>
      </c>
    </row>
    <row r="6" spans="1:6" x14ac:dyDescent="0.2">
      <c r="A6" s="84" t="s">
        <v>486</v>
      </c>
      <c r="B6" s="84" t="s">
        <v>655</v>
      </c>
      <c r="D6" s="72"/>
      <c r="E6" s="72" t="s">
        <v>472</v>
      </c>
      <c r="F6" s="72" t="s">
        <v>397</v>
      </c>
    </row>
    <row r="7" spans="1:6" x14ac:dyDescent="0.2">
      <c r="A7" s="76" t="s">
        <v>372</v>
      </c>
      <c r="B7" s="76" t="s">
        <v>222</v>
      </c>
      <c r="E7" s="322"/>
    </row>
    <row r="8" spans="1:6" x14ac:dyDescent="0.2">
      <c r="A8" s="74" t="s">
        <v>123</v>
      </c>
      <c r="B8" s="74" t="s">
        <v>49</v>
      </c>
    </row>
    <row r="9" spans="1:6" x14ac:dyDescent="0.2">
      <c r="A9" s="74" t="s">
        <v>502</v>
      </c>
      <c r="B9" s="73" t="s">
        <v>656</v>
      </c>
    </row>
    <row r="10" spans="1:6" x14ac:dyDescent="0.2">
      <c r="A10" s="74" t="s">
        <v>124</v>
      </c>
      <c r="B10" s="74" t="s">
        <v>50</v>
      </c>
    </row>
    <row r="11" spans="1:6" x14ac:dyDescent="0.2">
      <c r="A11" s="323" t="s">
        <v>503</v>
      </c>
      <c r="B11" s="73" t="s">
        <v>657</v>
      </c>
    </row>
    <row r="12" spans="1:6" x14ac:dyDescent="0.2">
      <c r="A12" s="73" t="s">
        <v>658</v>
      </c>
      <c r="B12" s="73" t="s">
        <v>659</v>
      </c>
    </row>
    <row r="13" spans="1:6" x14ac:dyDescent="0.2">
      <c r="A13" s="324" t="s">
        <v>644</v>
      </c>
      <c r="B13" s="73" t="s">
        <v>660</v>
      </c>
    </row>
    <row r="14" spans="1:6" x14ac:dyDescent="0.2">
      <c r="A14" s="74" t="s">
        <v>51</v>
      </c>
      <c r="B14" s="74" t="s">
        <v>52</v>
      </c>
    </row>
    <row r="15" spans="1:6" x14ac:dyDescent="0.2">
      <c r="A15" s="77" t="s">
        <v>28</v>
      </c>
      <c r="B15" s="78" t="s">
        <v>86</v>
      </c>
    </row>
    <row r="16" spans="1:6" x14ac:dyDescent="0.2">
      <c r="A16" s="84" t="s">
        <v>504</v>
      </c>
      <c r="B16" s="84" t="s">
        <v>661</v>
      </c>
    </row>
    <row r="17" spans="1:2" x14ac:dyDescent="0.2">
      <c r="A17" s="79" t="s">
        <v>147</v>
      </c>
      <c r="B17" s="79" t="s">
        <v>92</v>
      </c>
    </row>
    <row r="18" spans="1:2" x14ac:dyDescent="0.2">
      <c r="A18" s="80" t="s">
        <v>471</v>
      </c>
      <c r="B18" s="84" t="s">
        <v>662</v>
      </c>
    </row>
    <row r="19" spans="1:2" x14ac:dyDescent="0.2">
      <c r="A19" s="74" t="s">
        <v>1</v>
      </c>
      <c r="B19" s="78" t="s">
        <v>0</v>
      </c>
    </row>
    <row r="20" spans="1:2" x14ac:dyDescent="0.2">
      <c r="A20" s="73" t="s">
        <v>496</v>
      </c>
      <c r="B20" s="73" t="s">
        <v>663</v>
      </c>
    </row>
    <row r="21" spans="1:2" x14ac:dyDescent="0.2">
      <c r="A21" s="74" t="s">
        <v>505</v>
      </c>
      <c r="B21" s="78" t="s">
        <v>83</v>
      </c>
    </row>
    <row r="22" spans="1:2" x14ac:dyDescent="0.2">
      <c r="A22" s="74" t="s">
        <v>506</v>
      </c>
      <c r="B22" s="73" t="s">
        <v>664</v>
      </c>
    </row>
    <row r="23" spans="1:2" x14ac:dyDescent="0.2">
      <c r="A23" s="74" t="s">
        <v>507</v>
      </c>
      <c r="B23" s="73" t="s">
        <v>665</v>
      </c>
    </row>
    <row r="24" spans="1:2" x14ac:dyDescent="0.2">
      <c r="A24" s="74" t="s">
        <v>188</v>
      </c>
      <c r="B24" s="78" t="s">
        <v>189</v>
      </c>
    </row>
    <row r="25" spans="1:2" x14ac:dyDescent="0.2">
      <c r="A25" s="75" t="s">
        <v>11</v>
      </c>
      <c r="B25" s="75" t="s">
        <v>53</v>
      </c>
    </row>
    <row r="26" spans="1:2" x14ac:dyDescent="0.2">
      <c r="A26" s="74" t="s">
        <v>508</v>
      </c>
      <c r="B26" s="73" t="s">
        <v>666</v>
      </c>
    </row>
    <row r="27" spans="1:2" x14ac:dyDescent="0.2">
      <c r="A27" s="74" t="s">
        <v>509</v>
      </c>
      <c r="B27" s="73" t="s">
        <v>667</v>
      </c>
    </row>
    <row r="28" spans="1:2" x14ac:dyDescent="0.2">
      <c r="A28" s="75" t="s">
        <v>293</v>
      </c>
      <c r="B28" s="75" t="s">
        <v>292</v>
      </c>
    </row>
    <row r="29" spans="1:2" x14ac:dyDescent="0.2">
      <c r="A29" s="76" t="s">
        <v>190</v>
      </c>
      <c r="B29" s="76" t="s">
        <v>191</v>
      </c>
    </row>
    <row r="30" spans="1:2" x14ac:dyDescent="0.2">
      <c r="A30" s="84" t="s">
        <v>510</v>
      </c>
      <c r="B30" s="84" t="s">
        <v>668</v>
      </c>
    </row>
    <row r="31" spans="1:2" x14ac:dyDescent="0.2">
      <c r="A31" s="75" t="s">
        <v>394</v>
      </c>
      <c r="B31" s="75" t="s">
        <v>55</v>
      </c>
    </row>
    <row r="32" spans="1:2" x14ac:dyDescent="0.2">
      <c r="A32" s="74" t="s">
        <v>182</v>
      </c>
      <c r="B32" s="73" t="s">
        <v>669</v>
      </c>
    </row>
    <row r="33" spans="1:2" x14ac:dyDescent="0.2">
      <c r="A33" s="73" t="s">
        <v>453</v>
      </c>
      <c r="B33" s="73" t="s">
        <v>670</v>
      </c>
    </row>
    <row r="34" spans="1:2" x14ac:dyDescent="0.2">
      <c r="A34" s="73" t="s">
        <v>488</v>
      </c>
      <c r="B34" s="73" t="s">
        <v>671</v>
      </c>
    </row>
    <row r="35" spans="1:2" x14ac:dyDescent="0.2">
      <c r="A35" s="74" t="s">
        <v>645</v>
      </c>
      <c r="B35" s="73" t="s">
        <v>672</v>
      </c>
    </row>
    <row r="36" spans="1:2" x14ac:dyDescent="0.2">
      <c r="A36" s="74" t="s">
        <v>395</v>
      </c>
      <c r="B36" s="73" t="s">
        <v>673</v>
      </c>
    </row>
    <row r="37" spans="1:2" x14ac:dyDescent="0.2">
      <c r="A37" s="74" t="s">
        <v>469</v>
      </c>
      <c r="B37" s="73" t="s">
        <v>674</v>
      </c>
    </row>
    <row r="38" spans="1:2" x14ac:dyDescent="0.2">
      <c r="A38" s="74" t="s">
        <v>96</v>
      </c>
      <c r="B38" s="73" t="s">
        <v>675</v>
      </c>
    </row>
    <row r="39" spans="1:2" x14ac:dyDescent="0.2">
      <c r="A39" s="74" t="s">
        <v>148</v>
      </c>
      <c r="B39" s="73" t="s">
        <v>676</v>
      </c>
    </row>
    <row r="40" spans="1:2" x14ac:dyDescent="0.2">
      <c r="A40" s="74" t="s">
        <v>455</v>
      </c>
      <c r="B40" s="73" t="s">
        <v>677</v>
      </c>
    </row>
    <row r="41" spans="1:2" x14ac:dyDescent="0.2">
      <c r="A41" s="84" t="s">
        <v>511</v>
      </c>
      <c r="B41" s="73" t="s">
        <v>678</v>
      </c>
    </row>
    <row r="42" spans="1:2" x14ac:dyDescent="0.2">
      <c r="A42" s="79" t="s">
        <v>512</v>
      </c>
      <c r="B42" s="73" t="s">
        <v>679</v>
      </c>
    </row>
    <row r="43" spans="1:2" x14ac:dyDescent="0.2">
      <c r="A43" s="73" t="s">
        <v>485</v>
      </c>
      <c r="B43" s="73" t="s">
        <v>680</v>
      </c>
    </row>
    <row r="44" spans="1:2" x14ac:dyDescent="0.2">
      <c r="A44" s="74" t="s">
        <v>513</v>
      </c>
      <c r="B44" s="78" t="s">
        <v>192</v>
      </c>
    </row>
    <row r="45" spans="1:2" x14ac:dyDescent="0.2">
      <c r="A45" s="74" t="s">
        <v>514</v>
      </c>
      <c r="B45" s="73" t="s">
        <v>681</v>
      </c>
    </row>
    <row r="46" spans="1:2" x14ac:dyDescent="0.2">
      <c r="A46" s="74" t="s">
        <v>515</v>
      </c>
      <c r="B46" s="73" t="s">
        <v>682</v>
      </c>
    </row>
    <row r="47" spans="1:2" x14ac:dyDescent="0.2">
      <c r="A47" s="74" t="s">
        <v>137</v>
      </c>
      <c r="B47" s="74" t="s">
        <v>136</v>
      </c>
    </row>
    <row r="48" spans="1:2" x14ac:dyDescent="0.2">
      <c r="A48" s="74" t="s">
        <v>516</v>
      </c>
      <c r="B48" s="73" t="s">
        <v>683</v>
      </c>
    </row>
    <row r="49" spans="1:2" x14ac:dyDescent="0.2">
      <c r="A49" s="74" t="s">
        <v>684</v>
      </c>
      <c r="B49" s="84" t="s">
        <v>685</v>
      </c>
    </row>
    <row r="50" spans="1:2" x14ac:dyDescent="0.2">
      <c r="A50" s="75" t="s">
        <v>646</v>
      </c>
      <c r="B50" s="75" t="s">
        <v>193</v>
      </c>
    </row>
    <row r="51" spans="1:2" x14ac:dyDescent="0.2">
      <c r="A51" s="74" t="s">
        <v>454</v>
      </c>
      <c r="B51" s="73" t="s">
        <v>686</v>
      </c>
    </row>
    <row r="52" spans="1:2" x14ac:dyDescent="0.2">
      <c r="A52" s="73" t="s">
        <v>517</v>
      </c>
      <c r="B52" s="73" t="s">
        <v>687</v>
      </c>
    </row>
    <row r="53" spans="1:2" x14ac:dyDescent="0.2">
      <c r="A53" s="74" t="s">
        <v>518</v>
      </c>
      <c r="B53" s="73" t="s">
        <v>688</v>
      </c>
    </row>
    <row r="54" spans="1:2" x14ac:dyDescent="0.2">
      <c r="A54" s="74" t="s">
        <v>461</v>
      </c>
      <c r="B54" s="73" t="s">
        <v>689</v>
      </c>
    </row>
    <row r="55" spans="1:2" x14ac:dyDescent="0.2">
      <c r="A55" s="74" t="s">
        <v>440</v>
      </c>
      <c r="B55" s="73" t="s">
        <v>690</v>
      </c>
    </row>
    <row r="56" spans="1:2" x14ac:dyDescent="0.2">
      <c r="A56" s="74" t="s">
        <v>251</v>
      </c>
      <c r="B56" s="74" t="s">
        <v>252</v>
      </c>
    </row>
    <row r="57" spans="1:2" x14ac:dyDescent="0.2">
      <c r="A57" s="74" t="s">
        <v>238</v>
      </c>
      <c r="B57" s="79" t="s">
        <v>239</v>
      </c>
    </row>
    <row r="58" spans="1:2" x14ac:dyDescent="0.2">
      <c r="A58" s="74" t="s">
        <v>519</v>
      </c>
      <c r="B58" s="73" t="s">
        <v>691</v>
      </c>
    </row>
    <row r="59" spans="1:2" x14ac:dyDescent="0.2">
      <c r="A59" s="74" t="s">
        <v>492</v>
      </c>
      <c r="B59" s="73" t="s">
        <v>692</v>
      </c>
    </row>
    <row r="60" spans="1:2" x14ac:dyDescent="0.2">
      <c r="A60" s="84" t="s">
        <v>520</v>
      </c>
      <c r="B60" s="84" t="s">
        <v>693</v>
      </c>
    </row>
    <row r="61" spans="1:2" x14ac:dyDescent="0.2">
      <c r="A61" s="325" t="s">
        <v>617</v>
      </c>
      <c r="B61" s="325" t="s">
        <v>628</v>
      </c>
    </row>
    <row r="62" spans="1:2" x14ac:dyDescent="0.2">
      <c r="A62" s="75" t="s">
        <v>56</v>
      </c>
      <c r="B62" s="75" t="s">
        <v>57</v>
      </c>
    </row>
    <row r="63" spans="1:2" x14ac:dyDescent="0.2">
      <c r="A63" s="79" t="s">
        <v>194</v>
      </c>
      <c r="B63" s="79" t="s">
        <v>195</v>
      </c>
    </row>
    <row r="64" spans="1:2" x14ac:dyDescent="0.2">
      <c r="A64" s="84" t="s">
        <v>521</v>
      </c>
      <c r="B64" s="84" t="s">
        <v>694</v>
      </c>
    </row>
    <row r="65" spans="1:3" x14ac:dyDescent="0.2">
      <c r="A65" s="84" t="s">
        <v>1949</v>
      </c>
      <c r="B65" s="84" t="s">
        <v>1950</v>
      </c>
    </row>
    <row r="66" spans="1:3" x14ac:dyDescent="0.2">
      <c r="A66" s="74" t="s">
        <v>695</v>
      </c>
      <c r="B66" s="84" t="s">
        <v>696</v>
      </c>
    </row>
    <row r="67" spans="1:3" x14ac:dyDescent="0.2">
      <c r="A67" s="80" t="s">
        <v>449</v>
      </c>
      <c r="B67" s="73" t="s">
        <v>697</v>
      </c>
    </row>
    <row r="68" spans="1:3" x14ac:dyDescent="0.2">
      <c r="A68" s="74" t="s">
        <v>522</v>
      </c>
      <c r="B68" s="73" t="s">
        <v>698</v>
      </c>
    </row>
    <row r="69" spans="1:3" x14ac:dyDescent="0.2">
      <c r="A69" s="323" t="s">
        <v>618</v>
      </c>
      <c r="B69" s="87" t="s">
        <v>699</v>
      </c>
    </row>
    <row r="70" spans="1:3" x14ac:dyDescent="0.2">
      <c r="A70" s="74" t="s">
        <v>619</v>
      </c>
      <c r="B70" s="84" t="s">
        <v>700</v>
      </c>
    </row>
    <row r="71" spans="1:3" x14ac:dyDescent="0.2">
      <c r="A71" s="75" t="s">
        <v>477</v>
      </c>
      <c r="B71" s="326" t="s">
        <v>277</v>
      </c>
      <c r="C71" t="s">
        <v>616</v>
      </c>
    </row>
    <row r="72" spans="1:3" x14ac:dyDescent="0.2">
      <c r="A72" s="75" t="s">
        <v>363</v>
      </c>
      <c r="B72" s="75" t="s">
        <v>364</v>
      </c>
    </row>
    <row r="73" spans="1:3" x14ac:dyDescent="0.2">
      <c r="A73" s="80" t="s">
        <v>456</v>
      </c>
      <c r="B73" s="73" t="s">
        <v>701</v>
      </c>
    </row>
    <row r="74" spans="1:3" x14ac:dyDescent="0.2">
      <c r="A74" s="74" t="s">
        <v>647</v>
      </c>
      <c r="B74" s="84" t="s">
        <v>702</v>
      </c>
    </row>
    <row r="75" spans="1:3" x14ac:dyDescent="0.2">
      <c r="A75" s="84" t="s">
        <v>523</v>
      </c>
      <c r="B75" s="73" t="s">
        <v>703</v>
      </c>
    </row>
    <row r="76" spans="1:3" x14ac:dyDescent="0.2">
      <c r="A76" s="75" t="s">
        <v>638</v>
      </c>
      <c r="B76" s="75" t="s">
        <v>338</v>
      </c>
    </row>
    <row r="77" spans="1:3" x14ac:dyDescent="0.2">
      <c r="A77" s="73" t="s">
        <v>457</v>
      </c>
      <c r="B77" s="73" t="s">
        <v>704</v>
      </c>
    </row>
    <row r="78" spans="1:3" x14ac:dyDescent="0.2">
      <c r="A78" s="73" t="s">
        <v>524</v>
      </c>
      <c r="B78" s="73" t="s">
        <v>705</v>
      </c>
    </row>
    <row r="79" spans="1:3" x14ac:dyDescent="0.2">
      <c r="A79" s="73" t="s">
        <v>525</v>
      </c>
      <c r="B79" s="73" t="s">
        <v>706</v>
      </c>
    </row>
    <row r="80" spans="1:3" x14ac:dyDescent="0.2">
      <c r="A80" s="83" t="s">
        <v>489</v>
      </c>
      <c r="B80" s="73" t="s">
        <v>707</v>
      </c>
    </row>
    <row r="81" spans="1:2" x14ac:dyDescent="0.2">
      <c r="A81" s="88" t="s">
        <v>526</v>
      </c>
      <c r="B81" s="89" t="s">
        <v>708</v>
      </c>
    </row>
    <row r="82" spans="1:2" x14ac:dyDescent="0.2">
      <c r="A82" s="90" t="s">
        <v>392</v>
      </c>
      <c r="B82" s="253" t="s">
        <v>896</v>
      </c>
    </row>
    <row r="83" spans="1:2" x14ac:dyDescent="0.2">
      <c r="A83" s="91" t="s">
        <v>466</v>
      </c>
      <c r="B83" s="91" t="s">
        <v>709</v>
      </c>
    </row>
    <row r="84" spans="1:2" x14ac:dyDescent="0.2">
      <c r="A84" s="74" t="s">
        <v>237</v>
      </c>
      <c r="B84" s="84" t="s">
        <v>710</v>
      </c>
    </row>
    <row r="85" spans="1:2" x14ac:dyDescent="0.2">
      <c r="A85" s="82" t="s">
        <v>218</v>
      </c>
      <c r="B85" s="254" t="s">
        <v>897</v>
      </c>
    </row>
    <row r="86" spans="1:2" x14ac:dyDescent="0.2">
      <c r="A86" s="77" t="s">
        <v>368</v>
      </c>
      <c r="B86" s="84" t="s">
        <v>711</v>
      </c>
    </row>
    <row r="87" spans="1:2" x14ac:dyDescent="0.2">
      <c r="A87" s="77" t="s">
        <v>900</v>
      </c>
      <c r="B87" s="253" t="s">
        <v>899</v>
      </c>
    </row>
    <row r="88" spans="1:2" x14ac:dyDescent="0.2">
      <c r="A88" s="84" t="s">
        <v>620</v>
      </c>
      <c r="B88" s="73" t="s">
        <v>712</v>
      </c>
    </row>
    <row r="89" spans="1:2" x14ac:dyDescent="0.2">
      <c r="A89" s="73" t="s">
        <v>527</v>
      </c>
      <c r="B89" s="73" t="s">
        <v>713</v>
      </c>
    </row>
    <row r="90" spans="1:2" x14ac:dyDescent="0.2">
      <c r="A90" s="327" t="s">
        <v>639</v>
      </c>
      <c r="B90" s="328" t="s">
        <v>299</v>
      </c>
    </row>
    <row r="91" spans="1:2" x14ac:dyDescent="0.2">
      <c r="A91" s="326" t="s">
        <v>714</v>
      </c>
      <c r="B91" s="326" t="s">
        <v>473</v>
      </c>
    </row>
    <row r="92" spans="1:2" x14ac:dyDescent="0.2">
      <c r="A92" s="74" t="s">
        <v>184</v>
      </c>
      <c r="B92" s="74" t="s">
        <v>528</v>
      </c>
    </row>
    <row r="93" spans="1:2" x14ac:dyDescent="0.2">
      <c r="A93" s="74" t="s">
        <v>139</v>
      </c>
      <c r="B93" s="73" t="s">
        <v>715</v>
      </c>
    </row>
    <row r="94" spans="1:2" x14ac:dyDescent="0.2">
      <c r="A94" s="74" t="s">
        <v>529</v>
      </c>
      <c r="B94" s="73" t="s">
        <v>716</v>
      </c>
    </row>
    <row r="95" spans="1:2" x14ac:dyDescent="0.2">
      <c r="A95" s="325" t="s">
        <v>640</v>
      </c>
      <c r="B95" s="325" t="s">
        <v>298</v>
      </c>
    </row>
    <row r="96" spans="1:2" x14ac:dyDescent="0.2">
      <c r="A96" s="329" t="s">
        <v>530</v>
      </c>
      <c r="B96" s="73" t="s">
        <v>717</v>
      </c>
    </row>
    <row r="97" spans="1:2" x14ac:dyDescent="0.2">
      <c r="A97" s="73" t="s">
        <v>531</v>
      </c>
      <c r="B97" s="73" t="s">
        <v>718</v>
      </c>
    </row>
    <row r="98" spans="1:2" x14ac:dyDescent="0.2">
      <c r="A98" s="75" t="s">
        <v>621</v>
      </c>
      <c r="B98" s="325" t="s">
        <v>313</v>
      </c>
    </row>
    <row r="99" spans="1:2" x14ac:dyDescent="0.2">
      <c r="A99" s="74" t="s">
        <v>719</v>
      </c>
      <c r="B99" s="73" t="s">
        <v>720</v>
      </c>
    </row>
    <row r="100" spans="1:2" x14ac:dyDescent="0.2">
      <c r="A100" s="75" t="s">
        <v>648</v>
      </c>
      <c r="B100" s="325" t="s">
        <v>312</v>
      </c>
    </row>
    <row r="101" spans="1:2" x14ac:dyDescent="0.2">
      <c r="A101" s="75" t="s">
        <v>399</v>
      </c>
      <c r="B101" s="325" t="s">
        <v>310</v>
      </c>
    </row>
    <row r="102" spans="1:2" x14ac:dyDescent="0.2">
      <c r="A102" s="75" t="s">
        <v>400</v>
      </c>
      <c r="B102" s="325" t="s">
        <v>311</v>
      </c>
    </row>
    <row r="103" spans="1:2" x14ac:dyDescent="0.2">
      <c r="A103" s="75" t="s">
        <v>2296</v>
      </c>
      <c r="B103" s="325" t="s">
        <v>2325</v>
      </c>
    </row>
    <row r="104" spans="1:2" x14ac:dyDescent="0.2">
      <c r="A104" s="74" t="s">
        <v>459</v>
      </c>
      <c r="B104" s="84" t="s">
        <v>721</v>
      </c>
    </row>
    <row r="105" spans="1:2" x14ac:dyDescent="0.2">
      <c r="A105" s="74" t="s">
        <v>460</v>
      </c>
      <c r="B105" s="84" t="s">
        <v>722</v>
      </c>
    </row>
    <row r="106" spans="1:2" x14ac:dyDescent="0.2">
      <c r="A106" s="74" t="s">
        <v>532</v>
      </c>
      <c r="B106" s="73" t="s">
        <v>723</v>
      </c>
    </row>
    <row r="107" spans="1:2" x14ac:dyDescent="0.2">
      <c r="A107" s="74" t="s">
        <v>724</v>
      </c>
      <c r="B107" s="73" t="s">
        <v>725</v>
      </c>
    </row>
    <row r="108" spans="1:2" x14ac:dyDescent="0.2">
      <c r="A108" s="74" t="s">
        <v>626</v>
      </c>
      <c r="B108" s="73" t="s">
        <v>726</v>
      </c>
    </row>
    <row r="109" spans="1:2" x14ac:dyDescent="0.2">
      <c r="A109" s="74" t="s">
        <v>33</v>
      </c>
      <c r="B109" s="73" t="s">
        <v>727</v>
      </c>
    </row>
    <row r="110" spans="1:2" x14ac:dyDescent="0.2">
      <c r="A110" s="74" t="s">
        <v>435</v>
      </c>
      <c r="B110" s="73" t="s">
        <v>728</v>
      </c>
    </row>
    <row r="111" spans="1:2" x14ac:dyDescent="0.2">
      <c r="A111" s="74" t="s">
        <v>533</v>
      </c>
      <c r="B111" s="73" t="s">
        <v>729</v>
      </c>
    </row>
    <row r="112" spans="1:2" x14ac:dyDescent="0.2">
      <c r="A112" s="74" t="s">
        <v>534</v>
      </c>
      <c r="B112" s="73" t="s">
        <v>730</v>
      </c>
    </row>
    <row r="113" spans="1:2" x14ac:dyDescent="0.2">
      <c r="A113" s="74" t="s">
        <v>391</v>
      </c>
      <c r="B113" s="73" t="s">
        <v>731</v>
      </c>
    </row>
    <row r="114" spans="1:2" x14ac:dyDescent="0.2">
      <c r="A114" s="74" t="s">
        <v>535</v>
      </c>
      <c r="B114" s="73" t="s">
        <v>732</v>
      </c>
    </row>
    <row r="115" spans="1:2" x14ac:dyDescent="0.2">
      <c r="A115" s="73" t="s">
        <v>536</v>
      </c>
      <c r="B115" s="73" t="s">
        <v>733</v>
      </c>
    </row>
    <row r="116" spans="1:2" x14ac:dyDescent="0.2">
      <c r="A116" s="74" t="s">
        <v>93</v>
      </c>
      <c r="B116" s="84" t="s">
        <v>734</v>
      </c>
    </row>
    <row r="117" spans="1:2" x14ac:dyDescent="0.2">
      <c r="A117" s="325" t="s">
        <v>401</v>
      </c>
      <c r="B117" s="330" t="s">
        <v>300</v>
      </c>
    </row>
    <row r="118" spans="1:2" x14ac:dyDescent="0.2">
      <c r="A118" s="331" t="s">
        <v>402</v>
      </c>
      <c r="B118" s="331" t="s">
        <v>403</v>
      </c>
    </row>
    <row r="119" spans="1:2" x14ac:dyDescent="0.2">
      <c r="A119" s="325" t="s">
        <v>404</v>
      </c>
      <c r="B119" s="325" t="s">
        <v>149</v>
      </c>
    </row>
    <row r="120" spans="1:2" x14ac:dyDescent="0.2">
      <c r="A120" s="74" t="s">
        <v>217</v>
      </c>
      <c r="B120" s="74" t="s">
        <v>629</v>
      </c>
    </row>
    <row r="121" spans="1:2" x14ac:dyDescent="0.2">
      <c r="A121" s="84" t="s">
        <v>497</v>
      </c>
      <c r="B121" s="84" t="s">
        <v>735</v>
      </c>
    </row>
    <row r="122" spans="1:2" x14ac:dyDescent="0.2">
      <c r="A122" s="74" t="s">
        <v>537</v>
      </c>
      <c r="B122" s="73" t="s">
        <v>736</v>
      </c>
    </row>
    <row r="123" spans="1:2" x14ac:dyDescent="0.2">
      <c r="A123" s="79" t="s">
        <v>226</v>
      </c>
      <c r="B123" s="79" t="s">
        <v>630</v>
      </c>
    </row>
    <row r="124" spans="1:2" x14ac:dyDescent="0.2">
      <c r="A124" s="80" t="s">
        <v>737</v>
      </c>
      <c r="B124" s="73" t="s">
        <v>738</v>
      </c>
    </row>
    <row r="125" spans="1:2" x14ac:dyDescent="0.2">
      <c r="A125" s="75" t="s">
        <v>405</v>
      </c>
      <c r="B125" s="325" t="s">
        <v>58</v>
      </c>
    </row>
    <row r="126" spans="1:2" x14ac:dyDescent="0.2">
      <c r="A126" s="75" t="s">
        <v>40</v>
      </c>
      <c r="B126" s="325" t="s">
        <v>59</v>
      </c>
    </row>
    <row r="127" spans="1:2" x14ac:dyDescent="0.2">
      <c r="A127" s="75" t="s">
        <v>34</v>
      </c>
      <c r="B127" s="325" t="s">
        <v>60</v>
      </c>
    </row>
    <row r="128" spans="1:2" x14ac:dyDescent="0.2">
      <c r="A128" s="75" t="s">
        <v>35</v>
      </c>
      <c r="B128" s="325" t="s">
        <v>61</v>
      </c>
    </row>
    <row r="129" spans="1:2" x14ac:dyDescent="0.2">
      <c r="A129" s="75" t="s">
        <v>2206</v>
      </c>
      <c r="B129" s="394" t="s">
        <v>2207</v>
      </c>
    </row>
    <row r="130" spans="1:2" x14ac:dyDescent="0.2">
      <c r="A130" s="74" t="s">
        <v>739</v>
      </c>
      <c r="B130" s="73" t="s">
        <v>740</v>
      </c>
    </row>
    <row r="131" spans="1:2" x14ac:dyDescent="0.2">
      <c r="A131" s="75" t="s">
        <v>316</v>
      </c>
      <c r="B131" s="325" t="s">
        <v>314</v>
      </c>
    </row>
    <row r="132" spans="1:2" x14ac:dyDescent="0.2">
      <c r="A132" s="75" t="s">
        <v>309</v>
      </c>
      <c r="B132" s="325" t="s">
        <v>315</v>
      </c>
    </row>
    <row r="133" spans="1:2" x14ac:dyDescent="0.2">
      <c r="A133" s="81" t="s">
        <v>406</v>
      </c>
      <c r="B133" s="331" t="s">
        <v>407</v>
      </c>
    </row>
    <row r="134" spans="1:2" x14ac:dyDescent="0.2">
      <c r="A134" s="325" t="s">
        <v>408</v>
      </c>
      <c r="B134" s="325" t="s">
        <v>301</v>
      </c>
    </row>
    <row r="135" spans="1:2" x14ac:dyDescent="0.2">
      <c r="A135" s="75" t="s">
        <v>36</v>
      </c>
      <c r="B135" s="325" t="s">
        <v>62</v>
      </c>
    </row>
    <row r="136" spans="1:2" x14ac:dyDescent="0.2">
      <c r="A136" s="73" t="s">
        <v>483</v>
      </c>
      <c r="B136" s="73" t="s">
        <v>741</v>
      </c>
    </row>
    <row r="137" spans="1:2" x14ac:dyDescent="0.2">
      <c r="A137" s="74" t="s">
        <v>150</v>
      </c>
      <c r="B137" s="73" t="s">
        <v>742</v>
      </c>
    </row>
    <row r="138" spans="1:2" x14ac:dyDescent="0.2">
      <c r="A138" s="74" t="s">
        <v>436</v>
      </c>
      <c r="B138" s="73" t="s">
        <v>743</v>
      </c>
    </row>
    <row r="139" spans="1:2" x14ac:dyDescent="0.2">
      <c r="A139" s="74" t="s">
        <v>542</v>
      </c>
      <c r="B139" s="73" t="s">
        <v>744</v>
      </c>
    </row>
    <row r="140" spans="1:2" x14ac:dyDescent="0.2">
      <c r="A140" s="73" t="s">
        <v>539</v>
      </c>
      <c r="B140" s="73" t="s">
        <v>745</v>
      </c>
    </row>
    <row r="141" spans="1:2" x14ac:dyDescent="0.2">
      <c r="A141" s="73" t="s">
        <v>540</v>
      </c>
      <c r="B141" s="73" t="s">
        <v>746</v>
      </c>
    </row>
    <row r="142" spans="1:2" x14ac:dyDescent="0.2">
      <c r="A142" s="73" t="s">
        <v>541</v>
      </c>
      <c r="B142" s="73" t="s">
        <v>747</v>
      </c>
    </row>
    <row r="143" spans="1:2" x14ac:dyDescent="0.2">
      <c r="A143" s="73" t="s">
        <v>541</v>
      </c>
      <c r="B143" s="73" t="s">
        <v>747</v>
      </c>
    </row>
    <row r="144" spans="1:2" x14ac:dyDescent="0.2">
      <c r="A144" s="73" t="s">
        <v>543</v>
      </c>
      <c r="B144" s="73" t="s">
        <v>748</v>
      </c>
    </row>
    <row r="145" spans="1:2" x14ac:dyDescent="0.2">
      <c r="A145" s="73" t="s">
        <v>544</v>
      </c>
      <c r="B145" s="73" t="s">
        <v>749</v>
      </c>
    </row>
    <row r="146" spans="1:2" x14ac:dyDescent="0.2">
      <c r="A146" s="73" t="s">
        <v>545</v>
      </c>
      <c r="B146" s="73" t="s">
        <v>750</v>
      </c>
    </row>
    <row r="147" spans="1:2" x14ac:dyDescent="0.2">
      <c r="A147" s="73" t="s">
        <v>546</v>
      </c>
      <c r="B147" s="73" t="s">
        <v>751</v>
      </c>
    </row>
    <row r="148" spans="1:2" x14ac:dyDescent="0.2">
      <c r="A148" s="323" t="s">
        <v>538</v>
      </c>
      <c r="B148" s="73" t="s">
        <v>752</v>
      </c>
    </row>
    <row r="149" spans="1:2" x14ac:dyDescent="0.2">
      <c r="A149" s="73" t="s">
        <v>463</v>
      </c>
      <c r="B149" s="73" t="s">
        <v>753</v>
      </c>
    </row>
    <row r="150" spans="1:2" x14ac:dyDescent="0.2">
      <c r="A150" s="83" t="s">
        <v>443</v>
      </c>
      <c r="B150" s="83" t="s">
        <v>754</v>
      </c>
    </row>
    <row r="151" spans="1:2" x14ac:dyDescent="0.2">
      <c r="A151" s="84" t="s">
        <v>444</v>
      </c>
      <c r="B151" s="84" t="s">
        <v>755</v>
      </c>
    </row>
    <row r="152" spans="1:2" x14ac:dyDescent="0.2">
      <c r="A152" s="84" t="s">
        <v>447</v>
      </c>
      <c r="B152" s="84" t="s">
        <v>756</v>
      </c>
    </row>
    <row r="153" spans="1:2" x14ac:dyDescent="0.2">
      <c r="A153" s="84" t="s">
        <v>468</v>
      </c>
      <c r="B153" s="84" t="s">
        <v>757</v>
      </c>
    </row>
    <row r="154" spans="1:2" x14ac:dyDescent="0.2">
      <c r="A154" s="75" t="s">
        <v>104</v>
      </c>
      <c r="B154" s="325" t="s">
        <v>105</v>
      </c>
    </row>
    <row r="155" spans="1:2" x14ac:dyDescent="0.2">
      <c r="A155" s="325" t="s">
        <v>2046</v>
      </c>
      <c r="B155" s="325" t="s">
        <v>302</v>
      </c>
    </row>
    <row r="156" spans="1:2" x14ac:dyDescent="0.2">
      <c r="A156" s="331" t="s">
        <v>183</v>
      </c>
      <c r="B156" s="331" t="s">
        <v>409</v>
      </c>
    </row>
    <row r="157" spans="1:2" x14ac:dyDescent="0.2">
      <c r="A157" s="329" t="s">
        <v>547</v>
      </c>
      <c r="B157" s="73" t="s">
        <v>758</v>
      </c>
    </row>
    <row r="158" spans="1:2" x14ac:dyDescent="0.2">
      <c r="A158" s="329" t="s">
        <v>548</v>
      </c>
      <c r="B158" s="73" t="s">
        <v>759</v>
      </c>
    </row>
    <row r="159" spans="1:2" x14ac:dyDescent="0.2">
      <c r="A159" s="73" t="s">
        <v>549</v>
      </c>
      <c r="B159" s="73" t="s">
        <v>760</v>
      </c>
    </row>
    <row r="160" spans="1:2" x14ac:dyDescent="0.2">
      <c r="A160" s="325" t="s">
        <v>410</v>
      </c>
      <c r="B160" s="325" t="s">
        <v>63</v>
      </c>
    </row>
    <row r="161" spans="1:2" x14ac:dyDescent="0.2">
      <c r="A161" s="73" t="s">
        <v>490</v>
      </c>
      <c r="B161" s="73" t="s">
        <v>761</v>
      </c>
    </row>
    <row r="162" spans="1:2" x14ac:dyDescent="0.2">
      <c r="A162" s="73" t="s">
        <v>550</v>
      </c>
      <c r="B162" s="73" t="s">
        <v>762</v>
      </c>
    </row>
    <row r="163" spans="1:2" x14ac:dyDescent="0.2">
      <c r="A163" s="74" t="s">
        <v>551</v>
      </c>
      <c r="B163" s="73" t="s">
        <v>763</v>
      </c>
    </row>
    <row r="164" spans="1:2" x14ac:dyDescent="0.2">
      <c r="A164" s="74" t="s">
        <v>552</v>
      </c>
      <c r="B164" s="73" t="s">
        <v>764</v>
      </c>
    </row>
    <row r="165" spans="1:2" x14ac:dyDescent="0.2">
      <c r="A165" s="84" t="s">
        <v>498</v>
      </c>
      <c r="B165" s="73" t="s">
        <v>765</v>
      </c>
    </row>
    <row r="166" spans="1:2" x14ac:dyDescent="0.2">
      <c r="A166" s="79" t="s">
        <v>151</v>
      </c>
      <c r="B166" s="73" t="s">
        <v>766</v>
      </c>
    </row>
    <row r="167" spans="1:2" x14ac:dyDescent="0.2">
      <c r="A167" s="74" t="s">
        <v>767</v>
      </c>
      <c r="B167" s="84" t="s">
        <v>768</v>
      </c>
    </row>
    <row r="168" spans="1:2" x14ac:dyDescent="0.2">
      <c r="A168" s="73" t="s">
        <v>553</v>
      </c>
      <c r="B168" s="73" t="s">
        <v>769</v>
      </c>
    </row>
    <row r="169" spans="1:2" x14ac:dyDescent="0.2">
      <c r="A169" s="74" t="s">
        <v>248</v>
      </c>
      <c r="B169" s="79" t="s">
        <v>631</v>
      </c>
    </row>
    <row r="170" spans="1:2" x14ac:dyDescent="0.2">
      <c r="A170" s="74" t="s">
        <v>554</v>
      </c>
      <c r="B170" s="73" t="s">
        <v>770</v>
      </c>
    </row>
    <row r="171" spans="1:2" x14ac:dyDescent="0.2">
      <c r="A171" s="74" t="s">
        <v>465</v>
      </c>
      <c r="B171" s="73" t="s">
        <v>771</v>
      </c>
    </row>
    <row r="172" spans="1:2" x14ac:dyDescent="0.2">
      <c r="A172" s="74" t="s">
        <v>152</v>
      </c>
      <c r="B172" s="73" t="s">
        <v>772</v>
      </c>
    </row>
    <row r="173" spans="1:2" x14ac:dyDescent="0.2">
      <c r="A173" s="73" t="s">
        <v>556</v>
      </c>
      <c r="B173" s="73" t="s">
        <v>773</v>
      </c>
    </row>
    <row r="174" spans="1:2" x14ac:dyDescent="0.2">
      <c r="A174" s="73" t="s">
        <v>555</v>
      </c>
      <c r="B174" s="73" t="s">
        <v>774</v>
      </c>
    </row>
    <row r="175" spans="1:2" x14ac:dyDescent="0.2">
      <c r="A175" s="73" t="s">
        <v>557</v>
      </c>
      <c r="B175" s="73" t="s">
        <v>775</v>
      </c>
    </row>
    <row r="176" spans="1:2" x14ac:dyDescent="0.2">
      <c r="A176" s="79" t="s">
        <v>451</v>
      </c>
      <c r="B176" s="73" t="s">
        <v>776</v>
      </c>
    </row>
    <row r="177" spans="1:2" x14ac:dyDescent="0.2">
      <c r="A177" s="84" t="s">
        <v>560</v>
      </c>
      <c r="B177" s="73" t="s">
        <v>777</v>
      </c>
    </row>
    <row r="178" spans="1:2" x14ac:dyDescent="0.2">
      <c r="A178" s="84" t="s">
        <v>487</v>
      </c>
      <c r="B178" s="73" t="s">
        <v>778</v>
      </c>
    </row>
    <row r="179" spans="1:2" x14ac:dyDescent="0.2">
      <c r="A179" s="84" t="s">
        <v>559</v>
      </c>
      <c r="B179" s="73" t="s">
        <v>779</v>
      </c>
    </row>
    <row r="180" spans="1:2" x14ac:dyDescent="0.2">
      <c r="A180" s="84" t="s">
        <v>558</v>
      </c>
      <c r="B180" s="73" t="s">
        <v>780</v>
      </c>
    </row>
    <row r="181" spans="1:2" x14ac:dyDescent="0.2">
      <c r="A181" s="74" t="s">
        <v>450</v>
      </c>
      <c r="B181" s="73" t="s">
        <v>781</v>
      </c>
    </row>
    <row r="182" spans="1:2" x14ac:dyDescent="0.2">
      <c r="A182" s="74" t="s">
        <v>465</v>
      </c>
      <c r="B182" s="73" t="s">
        <v>771</v>
      </c>
    </row>
    <row r="183" spans="1:2" x14ac:dyDescent="0.2">
      <c r="A183" s="84" t="s">
        <v>478</v>
      </c>
      <c r="B183" s="84" t="s">
        <v>782</v>
      </c>
    </row>
    <row r="184" spans="1:2" x14ac:dyDescent="0.2">
      <c r="A184" s="74" t="s">
        <v>479</v>
      </c>
      <c r="B184" s="73" t="s">
        <v>783</v>
      </c>
    </row>
    <row r="185" spans="1:2" x14ac:dyDescent="0.2">
      <c r="A185" s="329" t="s">
        <v>119</v>
      </c>
      <c r="B185" s="73" t="s">
        <v>784</v>
      </c>
    </row>
    <row r="186" spans="1:2" x14ac:dyDescent="0.2">
      <c r="A186" s="325" t="s">
        <v>411</v>
      </c>
      <c r="B186" s="325" t="s">
        <v>303</v>
      </c>
    </row>
    <row r="187" spans="1:2" x14ac:dyDescent="0.2">
      <c r="A187" s="329" t="s">
        <v>241</v>
      </c>
      <c r="B187" s="73" t="s">
        <v>785</v>
      </c>
    </row>
    <row r="188" spans="1:2" x14ac:dyDescent="0.2">
      <c r="A188" s="74" t="s">
        <v>446</v>
      </c>
      <c r="B188" s="73" t="s">
        <v>786</v>
      </c>
    </row>
    <row r="189" spans="1:2" x14ac:dyDescent="0.2">
      <c r="A189" s="74" t="s">
        <v>649</v>
      </c>
      <c r="B189" s="73" t="s">
        <v>787</v>
      </c>
    </row>
    <row r="190" spans="1:2" x14ac:dyDescent="0.2">
      <c r="A190" s="331" t="s">
        <v>412</v>
      </c>
      <c r="B190" s="332" t="s">
        <v>413</v>
      </c>
    </row>
    <row r="191" spans="1:2" x14ac:dyDescent="0.2">
      <c r="A191" s="325" t="s">
        <v>888</v>
      </c>
      <c r="B191" s="325" t="s">
        <v>220</v>
      </c>
    </row>
    <row r="192" spans="1:2" x14ac:dyDescent="0.2">
      <c r="A192" s="325" t="s">
        <v>474</v>
      </c>
      <c r="B192" s="326" t="s">
        <v>305</v>
      </c>
    </row>
    <row r="193" spans="1:2" x14ac:dyDescent="0.2">
      <c r="A193" s="74" t="s">
        <v>650</v>
      </c>
      <c r="B193" s="84" t="s">
        <v>788</v>
      </c>
    </row>
    <row r="194" spans="1:2" x14ac:dyDescent="0.2">
      <c r="A194" s="74" t="s">
        <v>437</v>
      </c>
      <c r="B194" s="73" t="s">
        <v>789</v>
      </c>
    </row>
    <row r="195" spans="1:2" x14ac:dyDescent="0.2">
      <c r="A195" s="74" t="s">
        <v>561</v>
      </c>
      <c r="B195" s="73" t="s">
        <v>790</v>
      </c>
    </row>
    <row r="196" spans="1:2" x14ac:dyDescent="0.2">
      <c r="A196" s="84" t="s">
        <v>500</v>
      </c>
      <c r="B196" s="73" t="s">
        <v>791</v>
      </c>
    </row>
    <row r="197" spans="1:2" x14ac:dyDescent="0.2">
      <c r="A197" s="79" t="s">
        <v>196</v>
      </c>
      <c r="B197" s="73" t="s">
        <v>792</v>
      </c>
    </row>
    <row r="198" spans="1:2" x14ac:dyDescent="0.2">
      <c r="A198" s="84" t="s">
        <v>501</v>
      </c>
      <c r="B198" s="84" t="s">
        <v>793</v>
      </c>
    </row>
    <row r="199" spans="1:2" x14ac:dyDescent="0.2">
      <c r="A199" s="75" t="s">
        <v>37</v>
      </c>
      <c r="B199" s="325" t="s">
        <v>64</v>
      </c>
    </row>
    <row r="200" spans="1:2" x14ac:dyDescent="0.2">
      <c r="A200" s="74" t="s">
        <v>266</v>
      </c>
      <c r="B200" s="73" t="s">
        <v>901</v>
      </c>
    </row>
    <row r="201" spans="1:2" x14ac:dyDescent="0.2">
      <c r="A201" s="74" t="s">
        <v>917</v>
      </c>
      <c r="B201" s="333" t="s">
        <v>918</v>
      </c>
    </row>
    <row r="202" spans="1:2" x14ac:dyDescent="0.2">
      <c r="A202" s="75" t="s">
        <v>414</v>
      </c>
      <c r="B202" s="325" t="s">
        <v>185</v>
      </c>
    </row>
    <row r="203" spans="1:2" x14ac:dyDescent="0.2">
      <c r="A203" s="75" t="s">
        <v>2160</v>
      </c>
      <c r="B203" s="393" t="s">
        <v>2161</v>
      </c>
    </row>
    <row r="204" spans="1:2" x14ac:dyDescent="0.2">
      <c r="A204" s="74" t="s">
        <v>438</v>
      </c>
      <c r="B204" s="73" t="s">
        <v>794</v>
      </c>
    </row>
    <row r="205" spans="1:2" x14ac:dyDescent="0.2">
      <c r="A205" s="74" t="s">
        <v>12</v>
      </c>
      <c r="B205" s="73" t="s">
        <v>795</v>
      </c>
    </row>
    <row r="206" spans="1:2" x14ac:dyDescent="0.2">
      <c r="A206" s="74" t="s">
        <v>269</v>
      </c>
      <c r="B206" s="74" t="s">
        <v>270</v>
      </c>
    </row>
    <row r="207" spans="1:2" x14ac:dyDescent="0.2">
      <c r="A207" s="74" t="s">
        <v>562</v>
      </c>
      <c r="B207" s="73" t="s">
        <v>796</v>
      </c>
    </row>
    <row r="208" spans="1:2" x14ac:dyDescent="0.2">
      <c r="A208" s="329" t="s">
        <v>265</v>
      </c>
      <c r="B208" s="73" t="s">
        <v>797</v>
      </c>
    </row>
    <row r="209" spans="1:2" x14ac:dyDescent="0.2">
      <c r="A209" s="74" t="s">
        <v>480</v>
      </c>
      <c r="B209" s="73" t="s">
        <v>798</v>
      </c>
    </row>
    <row r="210" spans="1:2" x14ac:dyDescent="0.2">
      <c r="A210" s="77" t="s">
        <v>563</v>
      </c>
      <c r="B210" s="84" t="s">
        <v>799</v>
      </c>
    </row>
    <row r="211" spans="1:2" x14ac:dyDescent="0.2">
      <c r="A211" s="77" t="s">
        <v>564</v>
      </c>
      <c r="B211" s="73" t="s">
        <v>800</v>
      </c>
    </row>
    <row r="212" spans="1:2" x14ac:dyDescent="0.2">
      <c r="A212" s="331" t="s">
        <v>415</v>
      </c>
      <c r="B212" s="332" t="s">
        <v>416</v>
      </c>
    </row>
    <row r="213" spans="1:2" x14ac:dyDescent="0.2">
      <c r="A213" s="74" t="s">
        <v>565</v>
      </c>
      <c r="B213" s="73" t="s">
        <v>801</v>
      </c>
    </row>
    <row r="214" spans="1:2" x14ac:dyDescent="0.2">
      <c r="A214" s="74" t="s">
        <v>566</v>
      </c>
      <c r="B214" s="73" t="s">
        <v>802</v>
      </c>
    </row>
    <row r="215" spans="1:2" x14ac:dyDescent="0.2">
      <c r="A215" s="74" t="s">
        <v>88</v>
      </c>
      <c r="B215" s="73" t="s">
        <v>803</v>
      </c>
    </row>
    <row r="216" spans="1:2" x14ac:dyDescent="0.2">
      <c r="A216" s="74" t="s">
        <v>65</v>
      </c>
      <c r="B216" s="73" t="s">
        <v>804</v>
      </c>
    </row>
    <row r="217" spans="1:2" x14ac:dyDescent="0.2">
      <c r="A217" s="77" t="s">
        <v>567</v>
      </c>
      <c r="B217" s="73" t="s">
        <v>805</v>
      </c>
    </row>
    <row r="218" spans="1:2" x14ac:dyDescent="0.2">
      <c r="A218" s="77" t="s">
        <v>568</v>
      </c>
      <c r="B218" s="73" t="s">
        <v>806</v>
      </c>
    </row>
    <row r="219" spans="1:2" x14ac:dyDescent="0.2">
      <c r="A219" s="77" t="s">
        <v>569</v>
      </c>
      <c r="B219" s="73" t="s">
        <v>807</v>
      </c>
    </row>
    <row r="220" spans="1:2" x14ac:dyDescent="0.2">
      <c r="A220" s="74" t="s">
        <v>622</v>
      </c>
      <c r="B220" s="84" t="s">
        <v>808</v>
      </c>
    </row>
    <row r="221" spans="1:2" x14ac:dyDescent="0.2">
      <c r="A221" s="74" t="s">
        <v>809</v>
      </c>
      <c r="B221" s="73" t="s">
        <v>810</v>
      </c>
    </row>
    <row r="222" spans="1:2" x14ac:dyDescent="0.2">
      <c r="A222" s="73" t="s">
        <v>499</v>
      </c>
      <c r="B222" s="73" t="s">
        <v>811</v>
      </c>
    </row>
    <row r="223" spans="1:2" x14ac:dyDescent="0.2">
      <c r="A223" s="333" t="s">
        <v>570</v>
      </c>
      <c r="B223" s="73" t="s">
        <v>812</v>
      </c>
    </row>
    <row r="224" spans="1:2" x14ac:dyDescent="0.2">
      <c r="A224" s="74" t="s">
        <v>571</v>
      </c>
      <c r="B224" s="83" t="s">
        <v>813</v>
      </c>
    </row>
    <row r="225" spans="1:2" x14ac:dyDescent="0.2">
      <c r="A225" s="74" t="s">
        <v>2001</v>
      </c>
      <c r="B225" s="84" t="s">
        <v>2003</v>
      </c>
    </row>
    <row r="226" spans="1:2" x14ac:dyDescent="0.2">
      <c r="A226" s="74" t="s">
        <v>2002</v>
      </c>
      <c r="B226" s="84" t="s">
        <v>2004</v>
      </c>
    </row>
    <row r="227" spans="1:2" x14ac:dyDescent="0.2">
      <c r="A227" s="74" t="s">
        <v>572</v>
      </c>
      <c r="B227" s="84" t="s">
        <v>814</v>
      </c>
    </row>
    <row r="228" spans="1:2" x14ac:dyDescent="0.2">
      <c r="A228" s="74" t="s">
        <v>573</v>
      </c>
      <c r="B228" s="73" t="s">
        <v>815</v>
      </c>
    </row>
    <row r="229" spans="1:2" x14ac:dyDescent="0.2">
      <c r="A229" s="74" t="s">
        <v>233</v>
      </c>
      <c r="B229" s="73" t="s">
        <v>816</v>
      </c>
    </row>
    <row r="230" spans="1:2" x14ac:dyDescent="0.2">
      <c r="A230" s="74" t="s">
        <v>574</v>
      </c>
      <c r="B230" s="73" t="s">
        <v>817</v>
      </c>
    </row>
    <row r="231" spans="1:2" x14ac:dyDescent="0.2">
      <c r="A231" s="74" t="s">
        <v>575</v>
      </c>
      <c r="B231" s="73" t="s">
        <v>818</v>
      </c>
    </row>
    <row r="232" spans="1:2" x14ac:dyDescent="0.2">
      <c r="A232" s="74" t="s">
        <v>576</v>
      </c>
      <c r="B232" s="73" t="s">
        <v>819</v>
      </c>
    </row>
    <row r="233" spans="1:2" x14ac:dyDescent="0.2">
      <c r="A233" s="80" t="s">
        <v>577</v>
      </c>
      <c r="B233" s="73" t="s">
        <v>820</v>
      </c>
    </row>
    <row r="234" spans="1:2" x14ac:dyDescent="0.2">
      <c r="A234" s="74" t="s">
        <v>81</v>
      </c>
      <c r="B234" s="73" t="s">
        <v>821</v>
      </c>
    </row>
    <row r="235" spans="1:2" x14ac:dyDescent="0.2">
      <c r="A235" s="74" t="s">
        <v>25</v>
      </c>
      <c r="B235" s="73" t="s">
        <v>822</v>
      </c>
    </row>
    <row r="236" spans="1:2" x14ac:dyDescent="0.2">
      <c r="A236" s="75" t="s">
        <v>66</v>
      </c>
      <c r="B236" s="325" t="s">
        <v>367</v>
      </c>
    </row>
    <row r="237" spans="1:2" x14ac:dyDescent="0.2">
      <c r="A237" s="74" t="s">
        <v>578</v>
      </c>
      <c r="B237" s="73" t="s">
        <v>823</v>
      </c>
    </row>
    <row r="238" spans="1:2" x14ac:dyDescent="0.2">
      <c r="A238" s="74" t="s">
        <v>824</v>
      </c>
      <c r="B238" s="73" t="s">
        <v>825</v>
      </c>
    </row>
    <row r="239" spans="1:2" x14ac:dyDescent="0.2">
      <c r="A239" s="74" t="s">
        <v>153</v>
      </c>
      <c r="B239" s="73" t="s">
        <v>826</v>
      </c>
    </row>
    <row r="240" spans="1:2" x14ac:dyDescent="0.2">
      <c r="A240" s="74" t="s">
        <v>179</v>
      </c>
      <c r="B240" s="73" t="s">
        <v>827</v>
      </c>
    </row>
    <row r="241" spans="1:2" x14ac:dyDescent="0.2">
      <c r="A241" s="74" t="s">
        <v>38</v>
      </c>
      <c r="B241" s="73" t="s">
        <v>828</v>
      </c>
    </row>
    <row r="242" spans="1:2" x14ac:dyDescent="0.2">
      <c r="A242" s="74" t="s">
        <v>623</v>
      </c>
      <c r="B242" s="84" t="s">
        <v>829</v>
      </c>
    </row>
    <row r="243" spans="1:2" x14ac:dyDescent="0.2">
      <c r="A243" s="75" t="s">
        <v>353</v>
      </c>
      <c r="B243" s="76" t="s">
        <v>354</v>
      </c>
    </row>
    <row r="244" spans="1:2" x14ac:dyDescent="0.2">
      <c r="A244" s="77" t="s">
        <v>154</v>
      </c>
      <c r="B244" s="79" t="s">
        <v>155</v>
      </c>
    </row>
    <row r="245" spans="1:2" x14ac:dyDescent="0.2">
      <c r="A245" s="75" t="s">
        <v>13</v>
      </c>
      <c r="B245" s="328" t="s">
        <v>831</v>
      </c>
    </row>
    <row r="246" spans="1:2" x14ac:dyDescent="0.2">
      <c r="A246" s="74" t="s">
        <v>579</v>
      </c>
      <c r="B246" s="73" t="s">
        <v>830</v>
      </c>
    </row>
    <row r="247" spans="1:2" x14ac:dyDescent="0.2">
      <c r="A247" s="74" t="s">
        <v>442</v>
      </c>
      <c r="B247" s="84" t="s">
        <v>831</v>
      </c>
    </row>
    <row r="248" spans="1:2" x14ac:dyDescent="0.2">
      <c r="A248" s="74" t="s">
        <v>494</v>
      </c>
      <c r="B248" s="73" t="s">
        <v>832</v>
      </c>
    </row>
    <row r="249" spans="1:2" x14ac:dyDescent="0.2">
      <c r="A249" s="74" t="s">
        <v>445</v>
      </c>
      <c r="B249" s="73" t="s">
        <v>833</v>
      </c>
    </row>
    <row r="250" spans="1:2" x14ac:dyDescent="0.2">
      <c r="A250" s="74" t="s">
        <v>580</v>
      </c>
      <c r="B250" s="84" t="s">
        <v>834</v>
      </c>
    </row>
    <row r="251" spans="1:2" x14ac:dyDescent="0.2">
      <c r="A251" s="84" t="s">
        <v>462</v>
      </c>
      <c r="B251" s="84" t="s">
        <v>835</v>
      </c>
    </row>
    <row r="252" spans="1:2" x14ac:dyDescent="0.2">
      <c r="A252" s="75" t="s">
        <v>624</v>
      </c>
      <c r="B252" s="75" t="s">
        <v>67</v>
      </c>
    </row>
    <row r="253" spans="1:2" x14ac:dyDescent="0.2">
      <c r="A253" s="323" t="s">
        <v>581</v>
      </c>
      <c r="B253" s="73" t="s">
        <v>836</v>
      </c>
    </row>
    <row r="254" spans="1:2" x14ac:dyDescent="0.2">
      <c r="A254" s="73" t="s">
        <v>493</v>
      </c>
      <c r="B254" s="73" t="s">
        <v>837</v>
      </c>
    </row>
    <row r="255" spans="1:2" x14ac:dyDescent="0.2">
      <c r="A255" s="330" t="s">
        <v>417</v>
      </c>
      <c r="B255" s="76" t="s">
        <v>341</v>
      </c>
    </row>
    <row r="256" spans="1:2" x14ac:dyDescent="0.2">
      <c r="A256" s="74" t="s">
        <v>27</v>
      </c>
      <c r="B256" s="74" t="s">
        <v>68</v>
      </c>
    </row>
    <row r="257" spans="1:2" x14ac:dyDescent="0.2">
      <c r="A257" s="74" t="s">
        <v>651</v>
      </c>
      <c r="B257" s="74" t="s">
        <v>296</v>
      </c>
    </row>
    <row r="258" spans="1:2" x14ac:dyDescent="0.2">
      <c r="A258" s="74" t="s">
        <v>582</v>
      </c>
      <c r="B258" s="73" t="s">
        <v>838</v>
      </c>
    </row>
    <row r="259" spans="1:2" x14ac:dyDescent="0.2">
      <c r="A259" s="74" t="s">
        <v>583</v>
      </c>
      <c r="B259" s="73" t="s">
        <v>839</v>
      </c>
    </row>
    <row r="260" spans="1:2" x14ac:dyDescent="0.2">
      <c r="A260" s="74" t="s">
        <v>584</v>
      </c>
      <c r="B260" s="73" t="s">
        <v>840</v>
      </c>
    </row>
    <row r="261" spans="1:2" x14ac:dyDescent="0.2">
      <c r="A261" s="325" t="s">
        <v>418</v>
      </c>
      <c r="B261" s="75" t="s">
        <v>355</v>
      </c>
    </row>
    <row r="262" spans="1:2" x14ac:dyDescent="0.2">
      <c r="A262" s="325" t="s">
        <v>1951</v>
      </c>
      <c r="B262" s="75" t="s">
        <v>1952</v>
      </c>
    </row>
    <row r="263" spans="1:2" x14ac:dyDescent="0.2">
      <c r="A263" s="325" t="s">
        <v>419</v>
      </c>
      <c r="B263" s="75" t="s">
        <v>69</v>
      </c>
    </row>
    <row r="264" spans="1:2" x14ac:dyDescent="0.2">
      <c r="A264" s="77" t="s">
        <v>156</v>
      </c>
      <c r="B264" s="74" t="s">
        <v>157</v>
      </c>
    </row>
    <row r="265" spans="1:2" x14ac:dyDescent="0.2">
      <c r="A265" s="77" t="s">
        <v>585</v>
      </c>
      <c r="B265" s="73" t="s">
        <v>841</v>
      </c>
    </row>
    <row r="266" spans="1:2" x14ac:dyDescent="0.2">
      <c r="A266" s="329" t="s">
        <v>121</v>
      </c>
      <c r="B266" s="74" t="s">
        <v>120</v>
      </c>
    </row>
    <row r="267" spans="1:2" x14ac:dyDescent="0.2">
      <c r="A267" s="74" t="s">
        <v>14</v>
      </c>
      <c r="B267" s="74" t="s">
        <v>70</v>
      </c>
    </row>
    <row r="268" spans="1:2" x14ac:dyDescent="0.2">
      <c r="A268" s="81" t="s">
        <v>197</v>
      </c>
      <c r="B268" s="81" t="s">
        <v>198</v>
      </c>
    </row>
    <row r="269" spans="1:2" x14ac:dyDescent="0.2">
      <c r="A269" s="81" t="s">
        <v>1998</v>
      </c>
      <c r="B269" s="81" t="s">
        <v>1999</v>
      </c>
    </row>
    <row r="270" spans="1:2" x14ac:dyDescent="0.2">
      <c r="A270" s="75" t="s">
        <v>358</v>
      </c>
      <c r="B270" s="75" t="s">
        <v>359</v>
      </c>
    </row>
    <row r="271" spans="1:2" x14ac:dyDescent="0.2">
      <c r="A271" s="85" t="s">
        <v>420</v>
      </c>
      <c r="B271" s="81" t="s">
        <v>271</v>
      </c>
    </row>
    <row r="272" spans="1:2" x14ac:dyDescent="0.2">
      <c r="A272" s="75" t="s">
        <v>294</v>
      </c>
      <c r="B272" s="75" t="s">
        <v>295</v>
      </c>
    </row>
    <row r="273" spans="1:2" x14ac:dyDescent="0.2">
      <c r="A273" s="75" t="s">
        <v>421</v>
      </c>
      <c r="B273" s="75" t="s">
        <v>181</v>
      </c>
    </row>
    <row r="274" spans="1:2" x14ac:dyDescent="0.2">
      <c r="A274" s="74" t="s">
        <v>261</v>
      </c>
      <c r="B274" s="74" t="s">
        <v>262</v>
      </c>
    </row>
    <row r="275" spans="1:2" x14ac:dyDescent="0.2">
      <c r="A275" s="74" t="s">
        <v>464</v>
      </c>
      <c r="B275" s="84" t="s">
        <v>842</v>
      </c>
    </row>
    <row r="276" spans="1:2" x14ac:dyDescent="0.2">
      <c r="A276" s="74" t="s">
        <v>234</v>
      </c>
      <c r="B276" s="79" t="s">
        <v>235</v>
      </c>
    </row>
    <row r="277" spans="1:2" x14ac:dyDescent="0.2">
      <c r="A277" s="74" t="s">
        <v>482</v>
      </c>
      <c r="B277" s="73" t="s">
        <v>843</v>
      </c>
    </row>
    <row r="278" spans="1:2" x14ac:dyDescent="0.2">
      <c r="A278" s="73" t="s">
        <v>495</v>
      </c>
      <c r="B278" s="73" t="s">
        <v>844</v>
      </c>
    </row>
    <row r="279" spans="1:2" x14ac:dyDescent="0.2">
      <c r="A279" s="333" t="s">
        <v>586</v>
      </c>
      <c r="B279" s="73" t="s">
        <v>845</v>
      </c>
    </row>
    <row r="280" spans="1:2" x14ac:dyDescent="0.2">
      <c r="A280" s="74" t="s">
        <v>652</v>
      </c>
      <c r="B280" s="73" t="s">
        <v>846</v>
      </c>
    </row>
    <row r="281" spans="1:2" x14ac:dyDescent="0.2">
      <c r="A281" s="75" t="s">
        <v>307</v>
      </c>
      <c r="B281" s="75" t="s">
        <v>308</v>
      </c>
    </row>
    <row r="282" spans="1:2" x14ac:dyDescent="0.2">
      <c r="A282" s="74" t="s">
        <v>89</v>
      </c>
      <c r="B282" s="74" t="s">
        <v>90</v>
      </c>
    </row>
    <row r="283" spans="1:2" x14ac:dyDescent="0.2">
      <c r="A283" s="73" t="s">
        <v>587</v>
      </c>
      <c r="B283" s="73" t="s">
        <v>847</v>
      </c>
    </row>
    <row r="284" spans="1:2" x14ac:dyDescent="0.2">
      <c r="A284" s="73" t="s">
        <v>588</v>
      </c>
      <c r="B284" s="73" t="s">
        <v>848</v>
      </c>
    </row>
    <row r="285" spans="1:2" x14ac:dyDescent="0.2">
      <c r="A285" s="73" t="s">
        <v>589</v>
      </c>
      <c r="B285" s="73" t="s">
        <v>849</v>
      </c>
    </row>
    <row r="286" spans="1:2" x14ac:dyDescent="0.2">
      <c r="A286" s="75" t="s">
        <v>356</v>
      </c>
      <c r="B286" s="325" t="s">
        <v>357</v>
      </c>
    </row>
    <row r="287" spans="1:2" x14ac:dyDescent="0.2">
      <c r="A287" s="325" t="s">
        <v>422</v>
      </c>
      <c r="B287" s="325" t="s">
        <v>99</v>
      </c>
    </row>
    <row r="288" spans="1:2" x14ac:dyDescent="0.2">
      <c r="A288" s="75" t="s">
        <v>97</v>
      </c>
      <c r="B288" s="75" t="s">
        <v>98</v>
      </c>
    </row>
    <row r="289" spans="1:3" x14ac:dyDescent="0.2">
      <c r="A289" s="75" t="s">
        <v>186</v>
      </c>
      <c r="B289" s="75" t="s">
        <v>187</v>
      </c>
    </row>
    <row r="290" spans="1:3" x14ac:dyDescent="0.2">
      <c r="A290" s="75" t="s">
        <v>2324</v>
      </c>
      <c r="B290" s="75" t="s">
        <v>2323</v>
      </c>
    </row>
    <row r="291" spans="1:3" x14ac:dyDescent="0.2">
      <c r="A291" s="75" t="s">
        <v>2337</v>
      </c>
      <c r="B291" s="545" t="s">
        <v>2338</v>
      </c>
    </row>
    <row r="292" spans="1:3" x14ac:dyDescent="0.2">
      <c r="A292" s="74" t="s">
        <v>441</v>
      </c>
      <c r="B292" s="73" t="s">
        <v>849</v>
      </c>
    </row>
    <row r="293" spans="1:3" x14ac:dyDescent="0.2">
      <c r="A293" s="74" t="s">
        <v>381</v>
      </c>
      <c r="B293" s="74" t="s">
        <v>380</v>
      </c>
    </row>
    <row r="294" spans="1:3" x14ac:dyDescent="0.2">
      <c r="A294" s="74" t="s">
        <v>1358</v>
      </c>
      <c r="B294" s="74" t="s">
        <v>2209</v>
      </c>
      <c r="C294" t="s">
        <v>2208</v>
      </c>
    </row>
    <row r="295" spans="1:3" x14ac:dyDescent="0.2">
      <c r="A295" s="75" t="s">
        <v>317</v>
      </c>
      <c r="B295" s="75" t="s">
        <v>320</v>
      </c>
    </row>
    <row r="296" spans="1:3" x14ac:dyDescent="0.2">
      <c r="A296" s="75" t="s">
        <v>318</v>
      </c>
      <c r="B296" s="75" t="s">
        <v>321</v>
      </c>
    </row>
    <row r="297" spans="1:3" x14ac:dyDescent="0.2">
      <c r="A297" s="73" t="s">
        <v>590</v>
      </c>
      <c r="B297" s="73" t="s">
        <v>850</v>
      </c>
    </row>
    <row r="298" spans="1:3" x14ac:dyDescent="0.2">
      <c r="A298" s="73" t="s">
        <v>591</v>
      </c>
      <c r="B298" s="73" t="s">
        <v>851</v>
      </c>
    </row>
    <row r="299" spans="1:3" x14ac:dyDescent="0.2">
      <c r="A299" s="73" t="s">
        <v>381</v>
      </c>
      <c r="B299" s="73" t="s">
        <v>380</v>
      </c>
    </row>
    <row r="300" spans="1:3" x14ac:dyDescent="0.2">
      <c r="A300" s="75" t="s">
        <v>347</v>
      </c>
      <c r="B300" s="75" t="s">
        <v>348</v>
      </c>
    </row>
    <row r="301" spans="1:3" x14ac:dyDescent="0.2">
      <c r="A301" s="75" t="s">
        <v>349</v>
      </c>
      <c r="B301" s="75" t="s">
        <v>350</v>
      </c>
    </row>
    <row r="302" spans="1:3" x14ac:dyDescent="0.2">
      <c r="A302" s="75" t="s">
        <v>345</v>
      </c>
      <c r="B302" s="75" t="s">
        <v>346</v>
      </c>
    </row>
    <row r="303" spans="1:3" x14ac:dyDescent="0.2">
      <c r="A303" s="75" t="s">
        <v>351</v>
      </c>
      <c r="B303" s="75" t="s">
        <v>352</v>
      </c>
    </row>
    <row r="304" spans="1:3" x14ac:dyDescent="0.2">
      <c r="A304" s="329" t="s">
        <v>339</v>
      </c>
      <c r="B304" s="84" t="s">
        <v>852</v>
      </c>
    </row>
    <row r="305" spans="1:50" x14ac:dyDescent="0.2">
      <c r="A305" s="73" t="s">
        <v>592</v>
      </c>
      <c r="B305" s="73" t="s">
        <v>853</v>
      </c>
    </row>
    <row r="306" spans="1:50" x14ac:dyDescent="0.2">
      <c r="A306" s="325" t="s">
        <v>423</v>
      </c>
      <c r="B306" s="76" t="s">
        <v>340</v>
      </c>
    </row>
    <row r="307" spans="1:50" x14ac:dyDescent="0.2">
      <c r="A307" s="325" t="s">
        <v>424</v>
      </c>
      <c r="B307" s="75" t="s">
        <v>322</v>
      </c>
    </row>
    <row r="308" spans="1:50" x14ac:dyDescent="0.2">
      <c r="A308" s="74" t="s">
        <v>158</v>
      </c>
      <c r="B308" s="74" t="s">
        <v>159</v>
      </c>
    </row>
    <row r="309" spans="1:50" x14ac:dyDescent="0.2">
      <c r="A309" s="84" t="s">
        <v>484</v>
      </c>
      <c r="B309" s="73" t="s">
        <v>854</v>
      </c>
    </row>
    <row r="310" spans="1:50" x14ac:dyDescent="0.2">
      <c r="A310" s="74" t="s">
        <v>100</v>
      </c>
      <c r="B310" s="73" t="s">
        <v>637</v>
      </c>
    </row>
    <row r="311" spans="1:50" x14ac:dyDescent="0.2">
      <c r="A311" s="79" t="s">
        <v>593</v>
      </c>
      <c r="B311" s="73" t="s">
        <v>855</v>
      </c>
    </row>
    <row r="312" spans="1:50" x14ac:dyDescent="0.2">
      <c r="A312" s="79" t="s">
        <v>594</v>
      </c>
      <c r="B312" s="73" t="s">
        <v>854</v>
      </c>
    </row>
    <row r="313" spans="1:50" x14ac:dyDescent="0.2">
      <c r="A313" s="73" t="s">
        <v>595</v>
      </c>
      <c r="B313" s="73" t="s">
        <v>856</v>
      </c>
    </row>
    <row r="314" spans="1:50" x14ac:dyDescent="0.2">
      <c r="A314" s="73" t="s">
        <v>596</v>
      </c>
      <c r="B314" s="73" t="s">
        <v>857</v>
      </c>
    </row>
    <row r="315" spans="1:50" x14ac:dyDescent="0.2">
      <c r="A315" s="74" t="s">
        <v>39</v>
      </c>
      <c r="B315" s="74" t="s">
        <v>71</v>
      </c>
    </row>
    <row r="316" spans="1:50" x14ac:dyDescent="0.2">
      <c r="A316" s="73" t="s">
        <v>597</v>
      </c>
      <c r="B316" s="73" t="s">
        <v>858</v>
      </c>
    </row>
    <row r="317" spans="1:50" x14ac:dyDescent="0.2">
      <c r="A317" s="325" t="s">
        <v>425</v>
      </c>
      <c r="B317" s="75" t="s">
        <v>360</v>
      </c>
    </row>
    <row r="318" spans="1:50" s="50" customFormat="1" x14ac:dyDescent="0.2">
      <c r="A318" s="329" t="s">
        <v>598</v>
      </c>
      <c r="B318" s="73" t="s">
        <v>859</v>
      </c>
      <c r="C318"/>
      <c r="D318"/>
      <c r="E318"/>
      <c r="F318"/>
      <c r="G318"/>
      <c r="H318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</row>
    <row r="319" spans="1:50" x14ac:dyDescent="0.2">
      <c r="A319" s="75" t="s">
        <v>323</v>
      </c>
      <c r="B319" s="75" t="s">
        <v>324</v>
      </c>
    </row>
    <row r="320" spans="1:50" x14ac:dyDescent="0.2">
      <c r="A320" s="75" t="s">
        <v>72</v>
      </c>
      <c r="B320" s="75" t="s">
        <v>325</v>
      </c>
    </row>
    <row r="321" spans="1:3" x14ac:dyDescent="0.2">
      <c r="A321" s="75" t="s">
        <v>73</v>
      </c>
      <c r="B321" s="75" t="s">
        <v>326</v>
      </c>
    </row>
    <row r="322" spans="1:3" x14ac:dyDescent="0.2">
      <c r="A322" s="74" t="s">
        <v>491</v>
      </c>
      <c r="B322" s="73" t="s">
        <v>860</v>
      </c>
    </row>
    <row r="323" spans="1:3" x14ac:dyDescent="0.2">
      <c r="A323" s="73" t="s">
        <v>599</v>
      </c>
      <c r="B323" s="73" t="s">
        <v>861</v>
      </c>
    </row>
    <row r="324" spans="1:3" x14ac:dyDescent="0.2">
      <c r="A324" s="333" t="s">
        <v>600</v>
      </c>
      <c r="B324" s="73" t="s">
        <v>862</v>
      </c>
    </row>
    <row r="325" spans="1:3" x14ac:dyDescent="0.2">
      <c r="A325" s="75" t="s">
        <v>653</v>
      </c>
      <c r="B325" s="75" t="s">
        <v>74</v>
      </c>
    </row>
    <row r="326" spans="1:3" x14ac:dyDescent="0.2">
      <c r="A326" s="75" t="s">
        <v>279</v>
      </c>
      <c r="B326" s="76" t="s">
        <v>280</v>
      </c>
      <c r="C326" t="s">
        <v>616</v>
      </c>
    </row>
    <row r="327" spans="1:3" x14ac:dyDescent="0.2">
      <c r="A327" s="74" t="s">
        <v>601</v>
      </c>
      <c r="B327" s="84" t="s">
        <v>863</v>
      </c>
    </row>
    <row r="328" spans="1:3" x14ac:dyDescent="0.2">
      <c r="A328" s="74" t="s">
        <v>602</v>
      </c>
      <c r="B328" s="73" t="s">
        <v>864</v>
      </c>
    </row>
    <row r="329" spans="1:3" x14ac:dyDescent="0.2">
      <c r="A329" s="73" t="s">
        <v>603</v>
      </c>
      <c r="B329" s="73" t="s">
        <v>865</v>
      </c>
    </row>
    <row r="330" spans="1:3" x14ac:dyDescent="0.2">
      <c r="A330" s="74" t="s">
        <v>604</v>
      </c>
      <c r="B330" s="73" t="s">
        <v>866</v>
      </c>
    </row>
    <row r="331" spans="1:3" x14ac:dyDescent="0.2">
      <c r="A331" s="81" t="s">
        <v>327</v>
      </c>
      <c r="B331" s="81" t="s">
        <v>328</v>
      </c>
    </row>
    <row r="332" spans="1:3" x14ac:dyDescent="0.2">
      <c r="A332" s="74" t="s">
        <v>867</v>
      </c>
      <c r="B332" s="73" t="s">
        <v>868</v>
      </c>
    </row>
    <row r="333" spans="1:3" x14ac:dyDescent="0.2">
      <c r="A333" s="74" t="s">
        <v>41</v>
      </c>
      <c r="B333" s="74" t="s">
        <v>82</v>
      </c>
    </row>
    <row r="334" spans="1:3" x14ac:dyDescent="0.2">
      <c r="A334" s="74" t="s">
        <v>160</v>
      </c>
      <c r="B334" s="74" t="s">
        <v>161</v>
      </c>
    </row>
    <row r="335" spans="1:3" x14ac:dyDescent="0.2">
      <c r="A335" s="74" t="s">
        <v>605</v>
      </c>
      <c r="B335" s="73" t="s">
        <v>869</v>
      </c>
    </row>
    <row r="336" spans="1:3" x14ac:dyDescent="0.2">
      <c r="A336" s="74" t="s">
        <v>606</v>
      </c>
      <c r="B336" s="73" t="s">
        <v>870</v>
      </c>
    </row>
    <row r="337" spans="1:2" x14ac:dyDescent="0.2">
      <c r="A337" s="81" t="s">
        <v>329</v>
      </c>
      <c r="B337" s="331" t="s">
        <v>330</v>
      </c>
    </row>
    <row r="338" spans="1:2" x14ac:dyDescent="0.2">
      <c r="A338" s="75" t="s">
        <v>332</v>
      </c>
      <c r="B338" s="325" t="s">
        <v>335</v>
      </c>
    </row>
    <row r="339" spans="1:2" x14ac:dyDescent="0.2">
      <c r="A339" s="75" t="s">
        <v>331</v>
      </c>
      <c r="B339" s="325" t="s">
        <v>333</v>
      </c>
    </row>
    <row r="340" spans="1:2" x14ac:dyDescent="0.2">
      <c r="A340" s="73" t="s">
        <v>426</v>
      </c>
      <c r="B340" s="73" t="s">
        <v>871</v>
      </c>
    </row>
    <row r="341" spans="1:2" x14ac:dyDescent="0.2">
      <c r="A341" s="73" t="s">
        <v>607</v>
      </c>
      <c r="B341" s="73" t="s">
        <v>872</v>
      </c>
    </row>
    <row r="342" spans="1:2" x14ac:dyDescent="0.2">
      <c r="A342" s="75" t="s">
        <v>654</v>
      </c>
      <c r="B342" s="325" t="s">
        <v>334</v>
      </c>
    </row>
    <row r="343" spans="1:2" x14ac:dyDescent="0.2">
      <c r="A343" s="325" t="s">
        <v>641</v>
      </c>
      <c r="B343" s="325" t="s">
        <v>336</v>
      </c>
    </row>
    <row r="344" spans="1:2" x14ac:dyDescent="0.2">
      <c r="A344" s="325" t="s">
        <v>642</v>
      </c>
      <c r="B344" s="325" t="s">
        <v>337</v>
      </c>
    </row>
    <row r="345" spans="1:2" x14ac:dyDescent="0.2">
      <c r="A345" s="84" t="s">
        <v>458</v>
      </c>
      <c r="B345" s="84" t="s">
        <v>873</v>
      </c>
    </row>
    <row r="346" spans="1:2" x14ac:dyDescent="0.2">
      <c r="A346" s="73" t="s">
        <v>470</v>
      </c>
      <c r="B346" s="78" t="s">
        <v>369</v>
      </c>
    </row>
    <row r="347" spans="1:2" x14ac:dyDescent="0.2">
      <c r="A347" s="73" t="s">
        <v>608</v>
      </c>
      <c r="B347" s="73" t="s">
        <v>874</v>
      </c>
    </row>
    <row r="348" spans="1:2" x14ac:dyDescent="0.2">
      <c r="A348" s="325" t="s">
        <v>427</v>
      </c>
      <c r="B348" s="75" t="s">
        <v>273</v>
      </c>
    </row>
    <row r="349" spans="1:2" x14ac:dyDescent="0.2">
      <c r="A349" s="82" t="s">
        <v>342</v>
      </c>
      <c r="B349" s="86" t="s">
        <v>343</v>
      </c>
    </row>
    <row r="350" spans="1:2" x14ac:dyDescent="0.2">
      <c r="A350" s="75" t="s">
        <v>10</v>
      </c>
      <c r="B350" s="75" t="s">
        <v>75</v>
      </c>
    </row>
    <row r="351" spans="1:2" x14ac:dyDescent="0.2">
      <c r="A351" s="81" t="s">
        <v>258</v>
      </c>
      <c r="B351" s="81" t="s">
        <v>259</v>
      </c>
    </row>
    <row r="352" spans="1:2" x14ac:dyDescent="0.2">
      <c r="A352" s="325" t="s">
        <v>428</v>
      </c>
      <c r="B352" s="75" t="s">
        <v>257</v>
      </c>
    </row>
    <row r="353" spans="1:2" x14ac:dyDescent="0.2">
      <c r="A353" s="73" t="s">
        <v>609</v>
      </c>
      <c r="B353" s="73" t="s">
        <v>875</v>
      </c>
    </row>
    <row r="354" spans="1:2" x14ac:dyDescent="0.2">
      <c r="A354" s="73" t="s">
        <v>448</v>
      </c>
      <c r="B354" s="73" t="s">
        <v>876</v>
      </c>
    </row>
    <row r="355" spans="1:2" x14ac:dyDescent="0.2">
      <c r="A355" s="73" t="s">
        <v>452</v>
      </c>
      <c r="B355" s="73" t="s">
        <v>877</v>
      </c>
    </row>
    <row r="356" spans="1:2" x14ac:dyDescent="0.2">
      <c r="A356" s="73" t="s">
        <v>610</v>
      </c>
      <c r="B356" s="73" t="s">
        <v>878</v>
      </c>
    </row>
    <row r="357" spans="1:2" x14ac:dyDescent="0.2">
      <c r="A357" s="74" t="s">
        <v>84</v>
      </c>
      <c r="B357" s="74" t="s">
        <v>85</v>
      </c>
    </row>
    <row r="358" spans="1:2" x14ac:dyDescent="0.2">
      <c r="A358" s="74" t="s">
        <v>227</v>
      </c>
      <c r="B358" s="73" t="s">
        <v>879</v>
      </c>
    </row>
    <row r="359" spans="1:2" x14ac:dyDescent="0.2">
      <c r="A359" s="74" t="s">
        <v>611</v>
      </c>
      <c r="B359" s="73" t="s">
        <v>880</v>
      </c>
    </row>
    <row r="360" spans="1:2" x14ac:dyDescent="0.2">
      <c r="A360" s="82" t="s">
        <v>162</v>
      </c>
      <c r="B360" s="82" t="s">
        <v>163</v>
      </c>
    </row>
    <row r="361" spans="1:2" x14ac:dyDescent="0.2">
      <c r="A361" s="75" t="s">
        <v>366</v>
      </c>
      <c r="B361" s="75" t="s">
        <v>365</v>
      </c>
    </row>
    <row r="362" spans="1:2" x14ac:dyDescent="0.2">
      <c r="A362" s="325" t="s">
        <v>429</v>
      </c>
      <c r="B362" s="75" t="s">
        <v>77</v>
      </c>
    </row>
    <row r="363" spans="1:2" x14ac:dyDescent="0.2">
      <c r="A363" s="325" t="s">
        <v>430</v>
      </c>
      <c r="B363" s="75" t="s">
        <v>76</v>
      </c>
    </row>
    <row r="364" spans="1:2" x14ac:dyDescent="0.2">
      <c r="A364" s="325" t="s">
        <v>475</v>
      </c>
      <c r="B364" s="326" t="s">
        <v>476</v>
      </c>
    </row>
    <row r="365" spans="1:2" x14ac:dyDescent="0.2">
      <c r="A365" s="325" t="s">
        <v>376</v>
      </c>
      <c r="B365" s="75" t="s">
        <v>378</v>
      </c>
    </row>
    <row r="366" spans="1:2" x14ac:dyDescent="0.2">
      <c r="A366" s="325" t="s">
        <v>431</v>
      </c>
      <c r="B366" s="75" t="s">
        <v>375</v>
      </c>
    </row>
    <row r="367" spans="1:2" x14ac:dyDescent="0.2">
      <c r="A367" s="325" t="s">
        <v>377</v>
      </c>
      <c r="B367" s="75" t="s">
        <v>379</v>
      </c>
    </row>
    <row r="368" spans="1:2" x14ac:dyDescent="0.2">
      <c r="A368" s="325" t="s">
        <v>432</v>
      </c>
      <c r="B368" s="75" t="s">
        <v>78</v>
      </c>
    </row>
    <row r="369" spans="1:2" x14ac:dyDescent="0.2">
      <c r="A369" s="325" t="s">
        <v>1953</v>
      </c>
      <c r="B369" s="75" t="s">
        <v>1954</v>
      </c>
    </row>
    <row r="370" spans="1:2" x14ac:dyDescent="0.2">
      <c r="A370" s="325" t="s">
        <v>2030</v>
      </c>
      <c r="B370" s="75" t="s">
        <v>2031</v>
      </c>
    </row>
    <row r="371" spans="1:2" x14ac:dyDescent="0.2">
      <c r="A371" s="331" t="s">
        <v>433</v>
      </c>
      <c r="B371" s="331" t="s">
        <v>434</v>
      </c>
    </row>
    <row r="372" spans="1:2" x14ac:dyDescent="0.2">
      <c r="A372" s="74" t="s">
        <v>229</v>
      </c>
      <c r="B372" s="74" t="s">
        <v>230</v>
      </c>
    </row>
    <row r="373" spans="1:2" x14ac:dyDescent="0.2">
      <c r="A373" s="74" t="s">
        <v>22</v>
      </c>
      <c r="B373" s="74" t="s">
        <v>87</v>
      </c>
    </row>
    <row r="374" spans="1:2" x14ac:dyDescent="0.2">
      <c r="A374" s="74" t="s">
        <v>164</v>
      </c>
      <c r="B374" s="74" t="s">
        <v>165</v>
      </c>
    </row>
    <row r="375" spans="1:2" x14ac:dyDescent="0.2">
      <c r="A375" s="74" t="s">
        <v>439</v>
      </c>
      <c r="B375" s="73" t="s">
        <v>881</v>
      </c>
    </row>
    <row r="376" spans="1:2" x14ac:dyDescent="0.2">
      <c r="A376" s="73" t="s">
        <v>612</v>
      </c>
      <c r="B376" s="73" t="s">
        <v>882</v>
      </c>
    </row>
    <row r="377" spans="1:2" x14ac:dyDescent="0.2">
      <c r="A377" s="333" t="s">
        <v>613</v>
      </c>
      <c r="B377" s="73" t="s">
        <v>883</v>
      </c>
    </row>
    <row r="378" spans="1:2" x14ac:dyDescent="0.2">
      <c r="A378" s="84" t="s">
        <v>481</v>
      </c>
      <c r="B378" s="73" t="s">
        <v>884</v>
      </c>
    </row>
    <row r="379" spans="1:2" x14ac:dyDescent="0.2">
      <c r="A379" s="79" t="s">
        <v>467</v>
      </c>
      <c r="B379" s="73" t="s">
        <v>885</v>
      </c>
    </row>
    <row r="380" spans="1:2" x14ac:dyDescent="0.2">
      <c r="A380" s="73" t="s">
        <v>166</v>
      </c>
      <c r="B380" s="73" t="s">
        <v>886</v>
      </c>
    </row>
    <row r="381" spans="1:2" x14ac:dyDescent="0.2">
      <c r="A381" s="74" t="s">
        <v>199</v>
      </c>
      <c r="B381" s="78" t="s">
        <v>200</v>
      </c>
    </row>
    <row r="382" spans="1:2" x14ac:dyDescent="0.2">
      <c r="A382" s="74" t="s">
        <v>16</v>
      </c>
      <c r="B382" s="74" t="s">
        <v>79</v>
      </c>
    </row>
    <row r="383" spans="1:2" x14ac:dyDescent="0.2">
      <c r="A383" s="74" t="s">
        <v>614</v>
      </c>
      <c r="B383" s="73" t="s">
        <v>887</v>
      </c>
    </row>
    <row r="384" spans="1:2" x14ac:dyDescent="0.2">
      <c r="A384" s="74" t="s">
        <v>615</v>
      </c>
      <c r="B384" s="74" t="s">
        <v>201</v>
      </c>
    </row>
  </sheetData>
  <phoneticPr fontId="3" type="noConversion"/>
  <pageMargins left="0.25" right="0.25" top="0.75" bottom="0.75" header="0.3" footer="0.3"/>
  <pageSetup scale="96" orientation="portrait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</sheetPr>
  <dimension ref="A1:N207"/>
  <sheetViews>
    <sheetView showGridLines="0" zoomScale="85" zoomScaleNormal="85" zoomScaleSheetLayoutView="100" workbookViewId="0">
      <pane ySplit="1" topLeftCell="A170" activePane="bottomLeft" state="frozen"/>
      <selection activeCell="N23" sqref="N23"/>
      <selection pane="bottomLeft"/>
    </sheetView>
  </sheetViews>
  <sheetFormatPr baseColWidth="10" defaultColWidth="11" defaultRowHeight="12.75" x14ac:dyDescent="0.2"/>
  <cols>
    <col min="1" max="1" width="12" style="352" bestFit="1" customWidth="1"/>
    <col min="2" max="2" width="56" style="335" customWidth="1"/>
    <col min="3" max="3" width="10.140625" style="353" customWidth="1"/>
    <col min="4" max="4" width="7.85546875" style="352" customWidth="1"/>
    <col min="5" max="5" width="14.140625" style="352" bestFit="1" customWidth="1"/>
    <col min="6" max="6" width="14.140625" style="354" customWidth="1"/>
    <col min="7" max="7" width="14.140625" style="354" bestFit="1" customWidth="1"/>
    <col min="8" max="8" width="13.140625" style="352" bestFit="1" customWidth="1"/>
    <col min="9" max="10" width="13.140625" style="352" customWidth="1"/>
    <col min="11" max="11" width="14.85546875" style="352" bestFit="1" customWidth="1"/>
    <col min="12" max="12" width="13.85546875" style="550" bestFit="1" customWidth="1"/>
    <col min="13" max="13" width="10.140625" style="551" customWidth="1"/>
    <col min="14" max="14" width="29.85546875" style="335" customWidth="1"/>
    <col min="15" max="16384" width="11" style="335"/>
  </cols>
  <sheetData>
    <row r="1" spans="1:14" x14ac:dyDescent="0.2">
      <c r="A1" s="290" t="s">
        <v>643</v>
      </c>
      <c r="B1" s="291" t="s">
        <v>30</v>
      </c>
      <c r="C1" s="292" t="s">
        <v>31</v>
      </c>
      <c r="D1" s="291" t="s">
        <v>80</v>
      </c>
      <c r="E1" s="291" t="s">
        <v>18</v>
      </c>
      <c r="F1" s="293" t="s">
        <v>889</v>
      </c>
      <c r="G1" s="293" t="s">
        <v>890</v>
      </c>
      <c r="H1" s="291" t="s">
        <v>43</v>
      </c>
      <c r="I1" s="291" t="s">
        <v>44</v>
      </c>
      <c r="J1" s="291" t="s">
        <v>207</v>
      </c>
      <c r="K1" s="294" t="s">
        <v>208</v>
      </c>
      <c r="L1" s="547" t="s">
        <v>928</v>
      </c>
      <c r="M1" s="548" t="s">
        <v>1955</v>
      </c>
    </row>
    <row r="2" spans="1:14" x14ac:dyDescent="0.2">
      <c r="A2" s="95" t="str">
        <f>IF($B2="","",VLOOKUP(TRIM($B2),NSN!$A:$B,2,FALSE))</f>
        <v>C902637</v>
      </c>
      <c r="B2" s="336" t="s">
        <v>393</v>
      </c>
      <c r="C2" s="442" t="s">
        <v>1958</v>
      </c>
      <c r="D2" s="338"/>
      <c r="E2" s="338" t="s">
        <v>167</v>
      </c>
      <c r="F2" s="339">
        <v>1000</v>
      </c>
      <c r="G2" s="339">
        <v>1</v>
      </c>
      <c r="H2" s="339">
        <f>884/100</f>
        <v>8.84</v>
      </c>
      <c r="I2" s="339">
        <f>0/100</f>
        <v>0</v>
      </c>
      <c r="J2" s="339">
        <f>100/100</f>
        <v>1</v>
      </c>
      <c r="K2" s="339">
        <f>0/100</f>
        <v>0</v>
      </c>
      <c r="L2" s="549">
        <f>IF($A2="","",COUNTIF(LUNES!$B:$B,$A2)+COUNTIF(MARTES!$B:$B,$A2)+COUNTIF(MIERCOLES!$B:$B,$A2)+COUNTIF(JUEVES!$B:$B,$A2)+COUNTIF(VIERNES!$B:$B,$A2)+COUNTIF(SABADO!$B:$B,$A2)+COUNTIF(DOMINGO!$B:$B,$A2))</f>
        <v>0</v>
      </c>
      <c r="M2" s="96">
        <f>IF($A2="V000415",VLOOKUP($A2,BOLETIN!B:F,5,0),IFERROR(IFERROR(VLOOKUP($A2,CONSOLIDADO!$A:$D,4,0),VLOOKUP($A2,BOLETIN!$B:$F,5,0)),""))</f>
        <v>2400</v>
      </c>
      <c r="N2" s="391" t="s">
        <v>2076</v>
      </c>
    </row>
    <row r="3" spans="1:14" x14ac:dyDescent="0.2">
      <c r="A3" s="95" t="str">
        <f>IF($B3="","",VLOOKUP(TRIM($B3),NSN!$A:$B,2,FALSE))</f>
        <v>C902636</v>
      </c>
      <c r="B3" s="336" t="s">
        <v>2028</v>
      </c>
      <c r="C3" s="543">
        <v>1500</v>
      </c>
      <c r="D3" s="338"/>
      <c r="E3" s="338" t="s">
        <v>2027</v>
      </c>
      <c r="F3" s="339">
        <v>900</v>
      </c>
      <c r="G3" s="339">
        <v>1</v>
      </c>
      <c r="H3" s="339">
        <f>884/100</f>
        <v>8.84</v>
      </c>
      <c r="I3" s="339">
        <f>0/100</f>
        <v>0</v>
      </c>
      <c r="J3" s="339">
        <f>100/100</f>
        <v>1</v>
      </c>
      <c r="K3" s="339">
        <f>0/100</f>
        <v>0</v>
      </c>
      <c r="L3" s="549">
        <f>IF($A3="","",COUNTIF(LUNES!$B:$B,$A3)+COUNTIF(MARTES!$B:$B,$A3)+COUNTIF(MIERCOLES!$B:$B,$A3)+COUNTIF(JUEVES!$B:$B,$A3)+COUNTIF(VIERNES!$B:$B,$A3)+COUNTIF(SABADO!$B:$B,$A3)+COUNTIF(DOMINGO!$B:$B,$A3))</f>
        <v>26</v>
      </c>
      <c r="M3" s="96">
        <f>IF($A3="V000415",VLOOKUP($A3,BOLETIN!B:F,5,0),IFERROR(IFERROR(VLOOKUP($A3,CONSOLIDADO!$A:$D,4,0),VLOOKUP($A3,BOLETIN!$B:$F,5,0)),""))</f>
        <v>1500</v>
      </c>
      <c r="N3" s="392"/>
    </row>
    <row r="4" spans="1:14" x14ac:dyDescent="0.2">
      <c r="A4" s="95" t="str">
        <f>IF($B4="","",VLOOKUP(TRIM($B4),NSN!$A:$B,2,FALSE))</f>
        <v>C903420</v>
      </c>
      <c r="B4" s="336" t="s">
        <v>2058</v>
      </c>
      <c r="C4" s="543">
        <v>2296</v>
      </c>
      <c r="D4" s="338"/>
      <c r="E4" s="338" t="s">
        <v>278</v>
      </c>
      <c r="F4" s="339">
        <v>1000</v>
      </c>
      <c r="G4" s="339">
        <v>1</v>
      </c>
      <c r="H4" s="339">
        <f>884/100</f>
        <v>8.84</v>
      </c>
      <c r="I4" s="339">
        <f>0/100</f>
        <v>0</v>
      </c>
      <c r="J4" s="339">
        <f>100/100</f>
        <v>1</v>
      </c>
      <c r="K4" s="339">
        <f>0/100</f>
        <v>0</v>
      </c>
      <c r="L4" s="549">
        <f>IF($A4="","",COUNTIF(LUNES!$B:$B,$A4)+COUNTIF(MARTES!$B:$B,$A4)+COUNTIF(MIERCOLES!$B:$B,$A4)+COUNTIF(JUEVES!$B:$B,$A4)+COUNTIF(VIERNES!$B:$B,$A4)+COUNTIF(SABADO!$B:$B,$A4)+COUNTIF(DOMINGO!$B:$B,$A4))</f>
        <v>0</v>
      </c>
      <c r="M4" s="96">
        <f>IF($A4="V000415",VLOOKUP($A4,BOLETIN!B:F,5,0),IFERROR(IFERROR(VLOOKUP($A4,CONSOLIDADO!$A:$D,4,0),VLOOKUP($A4,BOLETIN!$B:$F,5,0)),""))</f>
        <v>2296</v>
      </c>
      <c r="N4" s="350" t="s">
        <v>2327</v>
      </c>
    </row>
    <row r="5" spans="1:14" x14ac:dyDescent="0.2">
      <c r="A5" s="95" t="str">
        <f>IF($B5="","",VLOOKUP(TRIM($B5),NSN!$A:$B,2,FALSE))</f>
        <v>C902841</v>
      </c>
      <c r="B5" s="336" t="s">
        <v>373</v>
      </c>
      <c r="C5" s="379" t="s">
        <v>1958</v>
      </c>
      <c r="D5" s="340"/>
      <c r="E5" s="340" t="s">
        <v>278</v>
      </c>
      <c r="F5" s="341">
        <v>1000</v>
      </c>
      <c r="G5" s="341">
        <v>1</v>
      </c>
      <c r="H5" s="339">
        <f>897/100</f>
        <v>8.9700000000000006</v>
      </c>
      <c r="I5" s="339">
        <f>0/100</f>
        <v>0</v>
      </c>
      <c r="J5" s="339">
        <f>99.7/100</f>
        <v>0.997</v>
      </c>
      <c r="K5" s="339">
        <f>0/100</f>
        <v>0</v>
      </c>
      <c r="L5" s="549">
        <f>IF($A5="","",COUNTIF(LUNES!$B:$B,$A5)+COUNTIF(MARTES!$B:$B,$A5)+COUNTIF(MIERCOLES!$B:$B,$A5)+COUNTIF(JUEVES!$B:$B,$A5)+COUNTIF(VIERNES!$B:$B,$A5)+COUNTIF(SABADO!$B:$B,$A5)+COUNTIF(DOMINGO!$B:$B,$A5))</f>
        <v>0</v>
      </c>
      <c r="M5" s="96" t="str">
        <f>IF($A5="V000415",VLOOKUP($A5,BOLETIN!B:F,5,0),IFERROR(IFERROR(VLOOKUP($A5,CONSOLIDADO!$A:$D,4,0),VLOOKUP($A5,BOLETIN!$B:$F,5,0)),""))</f>
        <v/>
      </c>
      <c r="N5" s="342"/>
    </row>
    <row r="6" spans="1:14" x14ac:dyDescent="0.2">
      <c r="A6" s="95" t="str">
        <f>IF($B6="","",VLOOKUP(TRIM($B6),NSN!$A:$B,2,FALSE))</f>
        <v>C902869</v>
      </c>
      <c r="B6" s="336" t="s">
        <v>372</v>
      </c>
      <c r="C6" s="379" t="s">
        <v>1958</v>
      </c>
      <c r="D6" s="340"/>
      <c r="E6" s="340" t="s">
        <v>223</v>
      </c>
      <c r="F6" s="341">
        <v>500</v>
      </c>
      <c r="G6" s="341">
        <v>1</v>
      </c>
      <c r="H6" s="339">
        <f>897/100</f>
        <v>8.9700000000000006</v>
      </c>
      <c r="I6" s="339">
        <f>0/100</f>
        <v>0</v>
      </c>
      <c r="J6" s="339">
        <f>99.7/100</f>
        <v>0.997</v>
      </c>
      <c r="K6" s="339">
        <f>0/100</f>
        <v>0</v>
      </c>
      <c r="L6" s="549">
        <f>IF($A6="","",COUNTIF(LUNES!$B:$B,$A6)+COUNTIF(MARTES!$B:$B,$A6)+COUNTIF(MIERCOLES!$B:$B,$A6)+COUNTIF(JUEVES!$B:$B,$A6)+COUNTIF(VIERNES!$B:$B,$A6)+COUNTIF(SABADO!$B:$B,$A6)+COUNTIF(DOMINGO!$B:$B,$A6))</f>
        <v>0</v>
      </c>
      <c r="M6" s="96" t="str">
        <f>IF($A6="V000415",VLOOKUP($A6,BOLETIN!B:F,5,0),IFERROR(IFERROR(VLOOKUP($A6,CONSOLIDADO!$A:$D,4,0),VLOOKUP($A6,BOLETIN!$B:$F,5,0)),""))</f>
        <v/>
      </c>
      <c r="N6" s="343"/>
    </row>
    <row r="7" spans="1:14" ht="13.5" thickBot="1" x14ac:dyDescent="0.25">
      <c r="A7" s="95" t="str">
        <f>IF($B7="","",VLOOKUP(TRIM($B7),NSN!$A:$B,2,FALSE))</f>
        <v>V000004</v>
      </c>
      <c r="B7" s="336" t="s">
        <v>123</v>
      </c>
      <c r="C7" s="544">
        <v>5593</v>
      </c>
      <c r="D7" s="338"/>
      <c r="E7" s="338" t="s">
        <v>15</v>
      </c>
      <c r="F7" s="339">
        <v>1000</v>
      </c>
      <c r="G7" s="339">
        <v>1</v>
      </c>
      <c r="H7" s="339">
        <f>116/100</f>
        <v>1.1599999999999999</v>
      </c>
      <c r="I7" s="339">
        <f>1.4/100</f>
        <v>1.3999999999999999E-2</v>
      </c>
      <c r="J7" s="339">
        <f>16.2/100</f>
        <v>0.16200000000000001</v>
      </c>
      <c r="K7" s="339">
        <f>1.3/100</f>
        <v>1.3000000000000001E-2</v>
      </c>
      <c r="L7" s="549">
        <f>IF($A7="","",COUNTIF(LUNES!$B:$B,$A7)+COUNTIF(MARTES!$B:$B,$A7)+COUNTIF(MIERCOLES!$B:$B,$A7)+COUNTIF(JUEVES!$B:$B,$A7)+COUNTIF(VIERNES!$B:$B,$A7)+COUNTIF(SABADO!$B:$B,$A7)+COUNTIF(DOMINGO!$B:$B,$A7))</f>
        <v>1</v>
      </c>
      <c r="M7" s="96">
        <f>IF($A7="V000415",VLOOKUP($A7,BOLETIN!B:F,5,0),IFERROR(IFERROR(VLOOKUP($A7,CONSOLIDADO!$A:$D,4,0),VLOOKUP($A7,BOLETIN!$B:$F,5,0)),""))</f>
        <v>5593</v>
      </c>
      <c r="N7" s="343"/>
    </row>
    <row r="8" spans="1:14" ht="13.5" thickBot="1" x14ac:dyDescent="0.25">
      <c r="A8" s="95" t="str">
        <f>IF($B8="","",VLOOKUP(TRIM($B8),NSN!$A:$B,2,FALSE))</f>
        <v>V000006</v>
      </c>
      <c r="B8" s="336" t="s">
        <v>124</v>
      </c>
      <c r="C8" s="544">
        <v>946</v>
      </c>
      <c r="D8" s="338"/>
      <c r="E8" s="338" t="s">
        <v>107</v>
      </c>
      <c r="F8" s="339">
        <v>640</v>
      </c>
      <c r="G8" s="339">
        <v>0.83799999999999997</v>
      </c>
      <c r="H8" s="339">
        <f>29/100</f>
        <v>0.28999999999999998</v>
      </c>
      <c r="I8" s="339">
        <f>1.3/100</f>
        <v>1.3000000000000001E-2</v>
      </c>
      <c r="J8" s="339">
        <f>0.4/100</f>
        <v>4.0000000000000001E-3</v>
      </c>
      <c r="K8" s="339">
        <f>5.1/100</f>
        <v>5.0999999999999997E-2</v>
      </c>
      <c r="L8" s="549">
        <f>IF($A8="","",COUNTIF(LUNES!$B:$B,$A8)+COUNTIF(MARTES!$B:$B,$A8)+COUNTIF(MIERCOLES!$B:$B,$A8)+COUNTIF(JUEVES!$B:$B,$A8)+COUNTIF(VIERNES!$B:$B,$A8)+COUNTIF(SABADO!$B:$B,$A8)+COUNTIF(DOMINGO!$B:$B,$A8))</f>
        <v>3</v>
      </c>
      <c r="M8" s="96">
        <f>IF($A8="V000415",VLOOKUP($A8,BOLETIN!B:F,5,0),IFERROR(IFERROR(VLOOKUP($A8,CONSOLIDADO!$A:$D,4,0),VLOOKUP($A8,BOLETIN!$B:$F,5,0)),""))</f>
        <v>946</v>
      </c>
      <c r="N8" s="546"/>
    </row>
    <row r="9" spans="1:14" ht="13.5" thickBot="1" x14ac:dyDescent="0.25">
      <c r="A9" s="95" t="str">
        <f>IF($B9="","",VLOOKUP(TRIM($B9),NSN!$A:$B,2,FALSE))</f>
        <v>V001117</v>
      </c>
      <c r="B9" s="336" t="s">
        <v>644</v>
      </c>
      <c r="C9" s="544">
        <v>374</v>
      </c>
      <c r="D9" s="338"/>
      <c r="E9" s="338" t="s">
        <v>225</v>
      </c>
      <c r="F9" s="339">
        <v>10</v>
      </c>
      <c r="G9" s="339">
        <v>1</v>
      </c>
      <c r="H9" s="339">
        <f>36/100</f>
        <v>0.36</v>
      </c>
      <c r="I9" s="339">
        <f>1.9/100</f>
        <v>1.9E-2</v>
      </c>
      <c r="J9" s="339">
        <f>0.3/100</f>
        <v>3.0000000000000001E-3</v>
      </c>
      <c r="K9" s="339">
        <f>6.4/100</f>
        <v>6.4000000000000001E-2</v>
      </c>
      <c r="L9" s="549">
        <f>IF($A9="","",COUNTIF(LUNES!$B:$B,$A9)+COUNTIF(MARTES!$B:$B,$A9)+COUNTIF(MIERCOLES!$B:$B,$A9)+COUNTIF(JUEVES!$B:$B,$A9)+COUNTIF(VIERNES!$B:$B,$A9)+COUNTIF(SABADO!$B:$B,$A9)+COUNTIF(DOMINGO!$B:$B,$A9))</f>
        <v>0</v>
      </c>
      <c r="M9" s="96">
        <f>IF($A9="V000415",VLOOKUP($A9,BOLETIN!B:F,5,0),IFERROR(IFERROR(VLOOKUP($A9,CONSOLIDADO!$A:$D,4,0),VLOOKUP($A9,BOLETIN!$B:$F,5,0)),""))</f>
        <v>374</v>
      </c>
      <c r="N9" s="345"/>
    </row>
    <row r="10" spans="1:14" x14ac:dyDescent="0.2">
      <c r="A10" s="95" t="str">
        <f>IF($B10="","",VLOOKUP(TRIM($B10),NSN!$A:$B,2,FALSE))</f>
        <v>V000009</v>
      </c>
      <c r="B10" s="336" t="s">
        <v>51</v>
      </c>
      <c r="C10" s="544">
        <v>5180</v>
      </c>
      <c r="D10" s="338"/>
      <c r="E10" s="338" t="s">
        <v>15</v>
      </c>
      <c r="F10" s="339">
        <v>1000</v>
      </c>
      <c r="G10" s="339">
        <v>1</v>
      </c>
      <c r="H10" s="339">
        <f>314/100</f>
        <v>3.14</v>
      </c>
      <c r="I10" s="339">
        <f>12.3/100</f>
        <v>0.12300000000000001</v>
      </c>
      <c r="J10" s="339">
        <f>16.8/100</f>
        <v>0.16800000000000001</v>
      </c>
      <c r="K10" s="339">
        <f>54.7/100</f>
        <v>0.54700000000000004</v>
      </c>
      <c r="L10" s="549">
        <f>IF($A10="","",COUNTIF(LUNES!$B:$B,$A10)+COUNTIF(MARTES!$B:$B,$A10)+COUNTIF(MIERCOLES!$B:$B,$A10)+COUNTIF(JUEVES!$B:$B,$A10)+COUNTIF(VIERNES!$B:$B,$A10)+COUNTIF(SABADO!$B:$B,$A10)+COUNTIF(DOMINGO!$B:$B,$A10))</f>
        <v>0</v>
      </c>
      <c r="M10" s="96">
        <f>IF($A10="V000415",VLOOKUP($A10,BOLETIN!B:F,5,0),IFERROR(IFERROR(VLOOKUP($A10,CONSOLIDADO!$A:$D,4,0),VLOOKUP($A10,BOLETIN!$B:$F,5,0)),""))</f>
        <v>5180</v>
      </c>
    </row>
    <row r="11" spans="1:14" x14ac:dyDescent="0.2">
      <c r="A11" s="95" t="str">
        <f>IF($B11="","",VLOOKUP(TRIM($B11),NSN!$A:$B,2,FALSE))</f>
        <v>V000010</v>
      </c>
      <c r="B11" s="336" t="s">
        <v>28</v>
      </c>
      <c r="C11" s="544">
        <v>1979</v>
      </c>
      <c r="D11" s="338"/>
      <c r="E11" s="338" t="s">
        <v>249</v>
      </c>
      <c r="F11" s="339">
        <v>1000</v>
      </c>
      <c r="G11" s="339">
        <v>1</v>
      </c>
      <c r="H11" s="339">
        <f>35/100</f>
        <v>0.35</v>
      </c>
      <c r="I11" s="339">
        <f>1.7/100</f>
        <v>1.7000000000000001E-2</v>
      </c>
      <c r="J11" s="339">
        <f>0.5/100</f>
        <v>5.0000000000000001E-3</v>
      </c>
      <c r="K11" s="339">
        <f>6/100</f>
        <v>0.06</v>
      </c>
      <c r="L11" s="549">
        <f>IF($A11="","",COUNTIF(LUNES!$B:$B,$A11)+COUNTIF(MARTES!$B:$B,$A11)+COUNTIF(MIERCOLES!$B:$B,$A11)+COUNTIF(JUEVES!$B:$B,$A11)+COUNTIF(VIERNES!$B:$B,$A11)+COUNTIF(SABADO!$B:$B,$A11)+COUNTIF(DOMINGO!$B:$B,$A11))</f>
        <v>1</v>
      </c>
      <c r="M11" s="96">
        <f>IF($A11="V000415",VLOOKUP($A11,BOLETIN!B:F,5,0),IFERROR(IFERROR(VLOOKUP($A11,CONSOLIDADO!$A:$D,4,0),VLOOKUP($A11,BOLETIN!$B:$F,5,0)),""))</f>
        <v>1979</v>
      </c>
      <c r="N11" s="335" t="s">
        <v>224</v>
      </c>
    </row>
    <row r="12" spans="1:14" x14ac:dyDescent="0.2">
      <c r="A12" s="95" t="str">
        <f>IF($B12="","",VLOOKUP(TRIM($B12),NSN!$A:$B,2,FALSE))</f>
        <v>V000014</v>
      </c>
      <c r="B12" s="336" t="s">
        <v>147</v>
      </c>
      <c r="C12" s="544">
        <v>297</v>
      </c>
      <c r="D12" s="338"/>
      <c r="E12" s="338" t="s">
        <v>250</v>
      </c>
      <c r="F12" s="339">
        <v>35</v>
      </c>
      <c r="G12" s="339">
        <v>1</v>
      </c>
      <c r="H12" s="339">
        <f>139/100</f>
        <v>1.39</v>
      </c>
      <c r="I12" s="339">
        <f>6.7/100</f>
        <v>6.7000000000000004E-2</v>
      </c>
      <c r="J12" s="339">
        <f>0.4/100</f>
        <v>4.0000000000000001E-3</v>
      </c>
      <c r="K12" s="339">
        <f>27.2/100</f>
        <v>0.27200000000000002</v>
      </c>
      <c r="L12" s="549">
        <f>IF($A12="","",COUNTIF(LUNES!$B:$B,$A12)+COUNTIF(MARTES!$B:$B,$A12)+COUNTIF(MIERCOLES!$B:$B,$A12)+COUNTIF(JUEVES!$B:$B,$A12)+COUNTIF(VIERNES!$B:$B,$A12)+COUNTIF(SABADO!$B:$B,$A12)+COUNTIF(DOMINGO!$B:$B,$A12))</f>
        <v>10</v>
      </c>
      <c r="M12" s="96">
        <f>IF($A12="V000415",VLOOKUP($A12,BOLETIN!B:F,5,0),IFERROR(IFERROR(VLOOKUP($A12,CONSOLIDADO!$A:$D,4,0),VLOOKUP($A12,BOLETIN!$B:$F,5,0)),""))</f>
        <v>297</v>
      </c>
    </row>
    <row r="13" spans="1:14" x14ac:dyDescent="0.2">
      <c r="A13" s="95" t="str">
        <f>IF($B13="","",VLOOKUP(TRIM($B13),NSN!$A:$B,2,FALSE))</f>
        <v>V000015</v>
      </c>
      <c r="B13" s="336" t="s">
        <v>471</v>
      </c>
      <c r="C13" s="544">
        <v>885</v>
      </c>
      <c r="D13" s="338"/>
      <c r="E13" s="338" t="s">
        <v>907</v>
      </c>
      <c r="F13" s="339">
        <v>100</v>
      </c>
      <c r="G13" s="339">
        <v>1</v>
      </c>
      <c r="H13" s="339">
        <f>42/100</f>
        <v>0.42</v>
      </c>
      <c r="I13" s="339">
        <f>2.8/100</f>
        <v>2.7999999999999997E-2</v>
      </c>
      <c r="J13" s="339">
        <f>0.5/100</f>
        <v>5.0000000000000001E-3</v>
      </c>
      <c r="K13" s="339">
        <f>6.6/100</f>
        <v>6.6000000000000003E-2</v>
      </c>
      <c r="L13" s="549">
        <f>IF($A13="","",COUNTIF(LUNES!$B:$B,$A13)+COUNTIF(MARTES!$B:$B,$A13)+COUNTIF(MIERCOLES!$B:$B,$A13)+COUNTIF(JUEVES!$B:$B,$A13)+COUNTIF(VIERNES!$B:$B,$A13)+COUNTIF(SABADO!$B:$B,$A13)+COUNTIF(DOMINGO!$B:$B,$A13))</f>
        <v>0</v>
      </c>
      <c r="M13" s="96">
        <f>IF($A13="V000415",VLOOKUP($A13,BOLETIN!B:F,5,0),IFERROR(IFERROR(VLOOKUP($A13,CONSOLIDADO!$A:$D,4,0),VLOOKUP($A13,BOLETIN!$B:$F,5,0)),""))</f>
        <v>885</v>
      </c>
    </row>
    <row r="14" spans="1:14" x14ac:dyDescent="0.2">
      <c r="A14" s="95" t="str">
        <f>IF($B14="","",VLOOKUP(TRIM($B14),NSN!$A:$B,2,FALSE))</f>
        <v>V000017</v>
      </c>
      <c r="B14" s="336" t="s">
        <v>1</v>
      </c>
      <c r="C14" s="96">
        <v>2579</v>
      </c>
      <c r="D14" s="338"/>
      <c r="E14" s="338" t="s">
        <v>344</v>
      </c>
      <c r="F14" s="339">
        <v>125</v>
      </c>
      <c r="G14" s="339">
        <v>1</v>
      </c>
      <c r="H14" s="339">
        <v>0</v>
      </c>
      <c r="I14" s="339">
        <v>0</v>
      </c>
      <c r="J14" s="339">
        <v>0</v>
      </c>
      <c r="K14" s="339">
        <v>0</v>
      </c>
      <c r="L14" s="549">
        <f>IF($A14="","",COUNTIF(LUNES!$B:$B,$A14)+COUNTIF(MARTES!$B:$B,$A14)+COUNTIF(MIERCOLES!$B:$B,$A14)+COUNTIF(JUEVES!$B:$B,$A14)+COUNTIF(VIERNES!$B:$B,$A14)+COUNTIF(SABADO!$B:$B,$A14)+COUNTIF(DOMINGO!$B:$B,$A14))</f>
        <v>0</v>
      </c>
      <c r="M14" s="96" t="str">
        <f>IF($A14="V000415",VLOOKUP($A14,BOLETIN!B:F,5,0),IFERROR(IFERROR(VLOOKUP($A14,CONSOLIDADO!$A:$D,4,0),VLOOKUP($A14,BOLETIN!$B:$F,5,0)),""))</f>
        <v/>
      </c>
    </row>
    <row r="15" spans="1:14" x14ac:dyDescent="0.2">
      <c r="A15" s="95" t="str">
        <f>IF($B15="","",VLOOKUP(TRIM($B15),NSN!$A:$B,2,FALSE))</f>
        <v>V000018</v>
      </c>
      <c r="B15" s="336" t="s">
        <v>505</v>
      </c>
      <c r="C15" s="544">
        <v>8568</v>
      </c>
      <c r="D15" s="338"/>
      <c r="E15" s="338" t="s">
        <v>15</v>
      </c>
      <c r="F15" s="339">
        <v>1000</v>
      </c>
      <c r="G15" s="339">
        <v>1</v>
      </c>
      <c r="H15" s="339">
        <f>250/100</f>
        <v>2.5</v>
      </c>
      <c r="I15" s="339">
        <f>10/100</f>
        <v>0.1</v>
      </c>
      <c r="J15" s="339">
        <f>5/100</f>
        <v>0.05</v>
      </c>
      <c r="K15" s="339">
        <f>40/100</f>
        <v>0.4</v>
      </c>
      <c r="L15" s="549">
        <f>IF($A15="","",COUNTIF(LUNES!$B:$B,$A15)+COUNTIF(MARTES!$B:$B,$A15)+COUNTIF(MIERCOLES!$B:$B,$A15)+COUNTIF(JUEVES!$B:$B,$A15)+COUNTIF(VIERNES!$B:$B,$A15)+COUNTIF(SABADO!$B:$B,$A15)+COUNTIF(DOMINGO!$B:$B,$A15))</f>
        <v>0</v>
      </c>
      <c r="M15" s="96">
        <f>IF($A15="V000415",VLOOKUP($A15,BOLETIN!B:F,5,0),IFERROR(IFERROR(VLOOKUP($A15,CONSOLIDADO!$A:$D,4,0),VLOOKUP($A15,BOLETIN!$B:$F,5,0)),""))</f>
        <v>8568</v>
      </c>
    </row>
    <row r="16" spans="1:14" x14ac:dyDescent="0.2">
      <c r="A16" s="95" t="str">
        <f>IF($B16="","",VLOOKUP(TRIM($B16),NSN!$A:$B,2,FALSE))</f>
        <v>V000335</v>
      </c>
      <c r="B16" s="336" t="s">
        <v>188</v>
      </c>
      <c r="C16" s="544">
        <v>1396</v>
      </c>
      <c r="D16" s="338"/>
      <c r="E16" s="338" t="s">
        <v>15</v>
      </c>
      <c r="F16" s="339">
        <v>1000</v>
      </c>
      <c r="G16" s="339">
        <v>0.95399999999999996</v>
      </c>
      <c r="H16" s="339">
        <f>18/100</f>
        <v>0.18</v>
      </c>
      <c r="I16" s="339">
        <f>0.7/100</f>
        <v>6.9999999999999993E-3</v>
      </c>
      <c r="J16" s="339">
        <f>0.2/100</f>
        <v>2E-3</v>
      </c>
      <c r="K16" s="339">
        <f>3.4/100</f>
        <v>3.4000000000000002E-2</v>
      </c>
      <c r="L16" s="549">
        <f>IF($A16="","",COUNTIF(LUNES!$B:$B,$A16)+COUNTIF(MARTES!$B:$B,$A16)+COUNTIF(MIERCOLES!$B:$B,$A16)+COUNTIF(JUEVES!$B:$B,$A16)+COUNTIF(VIERNES!$B:$B,$A16)+COUNTIF(SABADO!$B:$B,$A16)+COUNTIF(DOMINGO!$B:$B,$A16))</f>
        <v>0</v>
      </c>
      <c r="M16" s="96">
        <f>IF($A16="V000415",VLOOKUP($A16,BOLETIN!B:F,5,0),IFERROR(IFERROR(VLOOKUP($A16,CONSOLIDADO!$A:$D,4,0),VLOOKUP($A16,BOLETIN!$B:$F,5,0)),""))</f>
        <v>1396</v>
      </c>
    </row>
    <row r="17" spans="1:14" x14ac:dyDescent="0.2">
      <c r="A17" s="95" t="str">
        <f>IF($B17="","",VLOOKUP(TRIM($B17),NSN!$A:$B,2,FALSE))</f>
        <v>C002832</v>
      </c>
      <c r="B17" s="336" t="s">
        <v>11</v>
      </c>
      <c r="C17" s="543">
        <v>1384</v>
      </c>
      <c r="D17" s="338"/>
      <c r="E17" s="338" t="s">
        <v>15</v>
      </c>
      <c r="F17" s="339">
        <v>1000</v>
      </c>
      <c r="G17" s="339">
        <v>1</v>
      </c>
      <c r="H17" s="339">
        <f>352/100</f>
        <v>3.52</v>
      </c>
      <c r="I17" s="339">
        <f>6.4/100</f>
        <v>6.4000000000000001E-2</v>
      </c>
      <c r="J17" s="339">
        <f>0.8/100</f>
        <v>8.0000000000000002E-3</v>
      </c>
      <c r="K17" s="339">
        <f>79.7/100</f>
        <v>0.79700000000000004</v>
      </c>
      <c r="L17" s="549">
        <f>IF($A17="","",COUNTIF(LUNES!$B:$B,$A17)+COUNTIF(MARTES!$B:$B,$A17)+COUNTIF(MIERCOLES!$B:$B,$A17)+COUNTIF(JUEVES!$B:$B,$A17)+COUNTIF(VIERNES!$B:$B,$A17)+COUNTIF(SABADO!$B:$B,$A17)+COUNTIF(DOMINGO!$B:$B,$A17))</f>
        <v>6</v>
      </c>
      <c r="M17" s="96">
        <f>IF($A17="V000415",VLOOKUP($A17,BOLETIN!B:F,5,0),IFERROR(IFERROR(VLOOKUP($A17,CONSOLIDADO!$A:$D,4,0),VLOOKUP($A17,BOLETIN!$B:$F,5,0)),""))</f>
        <v>1384</v>
      </c>
    </row>
    <row r="18" spans="1:14" x14ac:dyDescent="0.2">
      <c r="A18" s="95" t="str">
        <f>IF($B18="","",VLOOKUP(TRIM($B18),NSN!$A:$B,2,FALSE))</f>
        <v>V000395</v>
      </c>
      <c r="B18" s="336" t="s">
        <v>508</v>
      </c>
      <c r="C18" s="544">
        <v>2390</v>
      </c>
      <c r="D18" s="338"/>
      <c r="E18" s="338" t="s">
        <v>15</v>
      </c>
      <c r="F18" s="339">
        <v>1000</v>
      </c>
      <c r="G18" s="339">
        <v>1</v>
      </c>
      <c r="H18" s="339">
        <f>78/100</f>
        <v>0.78</v>
      </c>
      <c r="I18" s="339">
        <f>5.2/100</f>
        <v>5.2000000000000005E-2</v>
      </c>
      <c r="J18" s="339">
        <f>0.3/100</f>
        <v>3.0000000000000001E-3</v>
      </c>
      <c r="K18" s="339">
        <f>14.3/100</f>
        <v>0.14300000000000002</v>
      </c>
      <c r="L18" s="549">
        <f>IF($A18="","",COUNTIF(LUNES!$B:$B,$A18)+COUNTIF(MARTES!$B:$B,$A18)+COUNTIF(MIERCOLES!$B:$B,$A18)+COUNTIF(JUEVES!$B:$B,$A18)+COUNTIF(VIERNES!$B:$B,$A18)+COUNTIF(SABADO!$B:$B,$A18)+COUNTIF(DOMINGO!$B:$B,$A18))</f>
        <v>2</v>
      </c>
      <c r="M18" s="96">
        <f>IF($A18="V000415",VLOOKUP($A18,BOLETIN!B:F,5,0),IFERROR(IFERROR(VLOOKUP($A18,CONSOLIDADO!$A:$D,4,0),VLOOKUP($A18,BOLETIN!$B:$F,5,0)),""))</f>
        <v>2390</v>
      </c>
    </row>
    <row r="19" spans="1:14" x14ac:dyDescent="0.2">
      <c r="A19" s="95" t="str">
        <f>IF($B19="","",VLOOKUP(TRIM($B19),NSN!$A:$B,2,FALSE))</f>
        <v>C903059</v>
      </c>
      <c r="B19" s="336" t="s">
        <v>293</v>
      </c>
      <c r="C19" s="377" t="s">
        <v>1958</v>
      </c>
      <c r="D19" s="338"/>
      <c r="E19" s="338" t="s">
        <v>15</v>
      </c>
      <c r="F19" s="339">
        <v>1000</v>
      </c>
      <c r="G19" s="339">
        <v>1</v>
      </c>
      <c r="H19" s="339">
        <f>341/100</f>
        <v>3.41</v>
      </c>
      <c r="I19" s="339">
        <f>24.5/100</f>
        <v>0.245</v>
      </c>
      <c r="J19" s="339">
        <f>1.16/100</f>
        <v>1.1599999999999999E-2</v>
      </c>
      <c r="K19" s="339">
        <f>60.3/100</f>
        <v>0.60299999999999998</v>
      </c>
      <c r="L19" s="549">
        <f>IF($A19="","",COUNTIF(LUNES!$B:$B,$A19)+COUNTIF(MARTES!$B:$B,$A19)+COUNTIF(MIERCOLES!$B:$B,$A19)+COUNTIF(JUEVES!$B:$B,$A19)+COUNTIF(VIERNES!$B:$B,$A19)+COUNTIF(SABADO!$B:$B,$A19)+COUNTIF(DOMINGO!$B:$B,$A19))</f>
        <v>0</v>
      </c>
      <c r="M19" s="96" t="str">
        <f>IF($A19="V000415",VLOOKUP($A19,BOLETIN!B:F,5,0),IFERROR(IFERROR(VLOOKUP($A19,CONSOLIDADO!$A:$D,4,0),VLOOKUP($A19,BOLETIN!$B:$F,5,0)),""))</f>
        <v/>
      </c>
    </row>
    <row r="20" spans="1:14" x14ac:dyDescent="0.2">
      <c r="A20" s="95" t="str">
        <f>IF($B20="","",VLOOKUP(TRIM($B20),NSN!$A:$B,2,FALSE))</f>
        <v>C902758</v>
      </c>
      <c r="B20" s="336" t="s">
        <v>190</v>
      </c>
      <c r="C20" s="543">
        <v>5500</v>
      </c>
      <c r="D20" s="338"/>
      <c r="E20" s="338" t="s">
        <v>15</v>
      </c>
      <c r="F20" s="339">
        <v>1000</v>
      </c>
      <c r="G20" s="339">
        <v>1</v>
      </c>
      <c r="H20" s="339">
        <f>90/100</f>
        <v>0.9</v>
      </c>
      <c r="I20" s="339">
        <f>26/100</f>
        <v>0.26</v>
      </c>
      <c r="J20" s="339">
        <f>1.4/100</f>
        <v>1.3999999999999999E-2</v>
      </c>
      <c r="K20" s="339">
        <f>0/100</f>
        <v>0</v>
      </c>
      <c r="L20" s="549">
        <f>IF($A20="","",COUNTIF(LUNES!$B:$B,$A20)+COUNTIF(MARTES!$B:$B,$A20)+COUNTIF(MIERCOLES!$B:$B,$A20)+COUNTIF(JUEVES!$B:$B,$A20)+COUNTIF(VIERNES!$B:$B,$A20)+COUNTIF(SABADO!$B:$B,$A20)+COUNTIF(DOMINGO!$B:$B,$A20))</f>
        <v>0</v>
      </c>
      <c r="M20" s="96">
        <f>IF($A20="V000415",VLOOKUP($A20,BOLETIN!B:F,5,0),IFERROR(IFERROR(VLOOKUP($A20,CONSOLIDADO!$A:$D,4,0),VLOOKUP($A20,BOLETIN!$B:$F,5,0)),""))</f>
        <v>5500</v>
      </c>
    </row>
    <row r="21" spans="1:14" x14ac:dyDescent="0.2">
      <c r="A21" s="95" t="str">
        <f>IF($B21="","",VLOOKUP(TRIM($B21),NSN!$A:$B,2,FALSE))</f>
        <v>C000816</v>
      </c>
      <c r="B21" s="336" t="s">
        <v>394</v>
      </c>
      <c r="C21" s="543">
        <v>1128</v>
      </c>
      <c r="D21" s="338"/>
      <c r="E21" s="338" t="s">
        <v>15</v>
      </c>
      <c r="F21" s="339">
        <v>1000</v>
      </c>
      <c r="G21" s="339">
        <v>1</v>
      </c>
      <c r="H21" s="339">
        <f>398/100</f>
        <v>3.98</v>
      </c>
      <c r="I21" s="339">
        <f>0/100</f>
        <v>0</v>
      </c>
      <c r="J21" s="339">
        <f>0/100</f>
        <v>0</v>
      </c>
      <c r="K21" s="339">
        <f>99.5/100</f>
        <v>0.995</v>
      </c>
      <c r="L21" s="549">
        <f>IF($A21="","",COUNTIF(LUNES!$B:$B,$A21)+COUNTIF(MARTES!$B:$B,$A21)+COUNTIF(MIERCOLES!$B:$B,$A21)+COUNTIF(JUEVES!$B:$B,$A21)+COUNTIF(VIERNES!$B:$B,$A21)+COUNTIF(SABADO!$B:$B,$A21)+COUNTIF(DOMINGO!$B:$B,$A21))</f>
        <v>15</v>
      </c>
      <c r="M21" s="96">
        <f>IF($A21="V000415",VLOOKUP($A21,BOLETIN!B:F,5,0),IFERROR(IFERROR(VLOOKUP($A21,CONSOLIDADO!$A:$D,4,0),VLOOKUP($A21,BOLETIN!$B:$F,5,0)),""))</f>
        <v>1128</v>
      </c>
    </row>
    <row r="22" spans="1:14" x14ac:dyDescent="0.2">
      <c r="A22" s="95" t="str">
        <f>IF($B22="","",VLOOKUP(TRIM($B22),NSN!$A:$B,2,FALSE))</f>
        <v>V000031</v>
      </c>
      <c r="B22" s="336" t="s">
        <v>182</v>
      </c>
      <c r="C22" s="344">
        <v>1853</v>
      </c>
      <c r="D22" s="338"/>
      <c r="E22" s="338" t="s">
        <v>15</v>
      </c>
      <c r="F22" s="339">
        <v>1000</v>
      </c>
      <c r="G22" s="339">
        <v>1</v>
      </c>
      <c r="H22" s="339">
        <f>400/100</f>
        <v>4</v>
      </c>
      <c r="I22" s="339">
        <f>0/100</f>
        <v>0</v>
      </c>
      <c r="J22" s="339">
        <f>0/100</f>
        <v>0</v>
      </c>
      <c r="K22" s="339">
        <f>99.8/100</f>
        <v>0.998</v>
      </c>
      <c r="L22" s="549">
        <f>IF($A22="","",COUNTIF(LUNES!$B:$B,$A22)+COUNTIF(MARTES!$B:$B,$A22)+COUNTIF(MIERCOLES!$B:$B,$A22)+COUNTIF(JUEVES!$B:$B,$A22)+COUNTIF(VIERNES!$B:$B,$A22)+COUNTIF(SABADO!$B:$B,$A22)+COUNTIF(DOMINGO!$B:$B,$A22))</f>
        <v>0</v>
      </c>
      <c r="M22" s="96" t="str">
        <f>IF($A22="V000415",VLOOKUP($A22,BOLETIN!B:F,5,0),IFERROR(IFERROR(VLOOKUP($A22,CONSOLIDADO!$A:$D,4,0),VLOOKUP($A22,BOLETIN!$B:$F,5,0)),""))</f>
        <v/>
      </c>
    </row>
    <row r="23" spans="1:14" x14ac:dyDescent="0.2">
      <c r="A23" s="95" t="str">
        <f>IF($B23="","",VLOOKUP(TRIM($B23),NSN!$A:$B,2,FALSE))</f>
        <v>V000366</v>
      </c>
      <c r="B23" s="336" t="s">
        <v>645</v>
      </c>
      <c r="C23" s="544">
        <v>3041</v>
      </c>
      <c r="D23" s="338"/>
      <c r="E23" s="338" t="s">
        <v>15</v>
      </c>
      <c r="F23" s="339">
        <v>1000</v>
      </c>
      <c r="G23" s="339">
        <v>1</v>
      </c>
      <c r="H23" s="339">
        <f>310/100</f>
        <v>3.1</v>
      </c>
      <c r="I23" s="339">
        <f>9.7/100</f>
        <v>9.6999999999999989E-2</v>
      </c>
      <c r="J23" s="339">
        <f>2.6/100</f>
        <v>2.6000000000000002E-2</v>
      </c>
      <c r="K23" s="339">
        <f>61.9/100</f>
        <v>0.61899999999999999</v>
      </c>
      <c r="L23" s="549">
        <f>IF($A23="","",COUNTIF(LUNES!$B:$B,$A23)+COUNTIF(MARTES!$B:$B,$A23)+COUNTIF(MIERCOLES!$B:$B,$A23)+COUNTIF(JUEVES!$B:$B,$A23)+COUNTIF(VIERNES!$B:$B,$A23)+COUNTIF(SABADO!$B:$B,$A23)+COUNTIF(DOMINGO!$B:$B,$A23))</f>
        <v>0</v>
      </c>
      <c r="M23" s="96">
        <f>IF($A23="V000415",VLOOKUP($A23,BOLETIN!B:F,5,0),IFERROR(IFERROR(VLOOKUP($A23,CONSOLIDADO!$A:$D,4,0),VLOOKUP($A23,BOLETIN!$B:$F,5,0)),""))</f>
        <v>3041</v>
      </c>
    </row>
    <row r="24" spans="1:14" x14ac:dyDescent="0.2">
      <c r="A24" s="95" t="str">
        <f>IF($B24="","",VLOOKUP(TRIM($B24),NSN!$A:$B,2,FALSE))</f>
        <v>V000367</v>
      </c>
      <c r="B24" s="336" t="s">
        <v>395</v>
      </c>
      <c r="C24" s="544">
        <v>3000</v>
      </c>
      <c r="D24" s="338"/>
      <c r="E24" s="338" t="s">
        <v>15</v>
      </c>
      <c r="F24" s="339">
        <v>1000</v>
      </c>
      <c r="G24" s="339">
        <v>1</v>
      </c>
      <c r="H24" s="339">
        <f>301/100</f>
        <v>3.01</v>
      </c>
      <c r="I24" s="339">
        <f>9.6/100</f>
        <v>9.6000000000000002E-2</v>
      </c>
      <c r="J24" s="339">
        <f>1.7/100</f>
        <v>1.7000000000000001E-2</v>
      </c>
      <c r="K24" s="339">
        <f>65.1/100</f>
        <v>0.65099999999999991</v>
      </c>
      <c r="L24" s="549">
        <f>IF($A24="","",COUNTIF(LUNES!$B:$B,$A24)+COUNTIF(MARTES!$B:$B,$A24)+COUNTIF(MIERCOLES!$B:$B,$A24)+COUNTIF(JUEVES!$B:$B,$A24)+COUNTIF(VIERNES!$B:$B,$A24)+COUNTIF(SABADO!$B:$B,$A24)+COUNTIF(DOMINGO!$B:$B,$A24))</f>
        <v>0</v>
      </c>
      <c r="M24" s="96">
        <f>IF($A24="V000415",VLOOKUP($A24,BOLETIN!B:F,5,0),IFERROR(IFERROR(VLOOKUP($A24,CONSOLIDADO!$A:$D,4,0),VLOOKUP($A24,BOLETIN!$B:$F,5,0)),""))</f>
        <v>3000</v>
      </c>
    </row>
    <row r="25" spans="1:14" x14ac:dyDescent="0.2">
      <c r="A25" s="95" t="str">
        <f>IF($B25="","",VLOOKUP(TRIM($B25),NSN!$A:$B,2,FALSE))</f>
        <v>V000987</v>
      </c>
      <c r="B25" s="336" t="s">
        <v>148</v>
      </c>
      <c r="C25" s="544">
        <v>6169</v>
      </c>
      <c r="D25" s="338"/>
      <c r="E25" s="338" t="s">
        <v>15</v>
      </c>
      <c r="F25" s="339">
        <v>1000</v>
      </c>
      <c r="G25" s="339">
        <v>1</v>
      </c>
      <c r="H25" s="339">
        <f>408/100</f>
        <v>4.08</v>
      </c>
      <c r="I25" s="339">
        <f>4.3/100</f>
        <v>4.2999999999999997E-2</v>
      </c>
      <c r="J25" s="339">
        <f>7.4/100</f>
        <v>7.400000000000001E-2</v>
      </c>
      <c r="K25" s="339">
        <f>81/100</f>
        <v>0.81</v>
      </c>
      <c r="L25" s="549">
        <f>IF($A25="","",COUNTIF(LUNES!$B:$B,$A25)+COUNTIF(MARTES!$B:$B,$A25)+COUNTIF(MIERCOLES!$B:$B,$A25)+COUNTIF(JUEVES!$B:$B,$A25)+COUNTIF(VIERNES!$B:$B,$A25)+COUNTIF(SABADO!$B:$B,$A25)+COUNTIF(DOMINGO!$B:$B,$A25))</f>
        <v>0</v>
      </c>
      <c r="M25" s="96">
        <f>IF($A25="V000415",VLOOKUP($A25,BOLETIN!B:F,5,0),IFERROR(IFERROR(VLOOKUP($A25,CONSOLIDADO!$A:$D,4,0),VLOOKUP($A25,BOLETIN!$B:$F,5,0)),""))</f>
        <v>6169</v>
      </c>
    </row>
    <row r="26" spans="1:14" x14ac:dyDescent="0.2">
      <c r="A26" s="95" t="str">
        <f>IF($B26="","",VLOOKUP(TRIM($B26),NSN!$A:$B,2,FALSE))</f>
        <v>V000034</v>
      </c>
      <c r="B26" s="336" t="s">
        <v>513</v>
      </c>
      <c r="C26" s="544">
        <v>1311</v>
      </c>
      <c r="D26" s="338"/>
      <c r="E26" s="338" t="s">
        <v>202</v>
      </c>
      <c r="F26" s="339">
        <v>1000</v>
      </c>
      <c r="G26" s="339">
        <v>0.876</v>
      </c>
      <c r="H26" s="339">
        <f>41/100</f>
        <v>0.41</v>
      </c>
      <c r="I26" s="339">
        <f>1.9/100</f>
        <v>1.9E-2</v>
      </c>
      <c r="J26" s="339">
        <f>0.2/100</f>
        <v>2E-3</v>
      </c>
      <c r="K26" s="339">
        <f>7.9/100</f>
        <v>7.9000000000000001E-2</v>
      </c>
      <c r="L26" s="549">
        <f>IF($A26="","",COUNTIF(LUNES!$B:$B,$A26)+COUNTIF(MARTES!$B:$B,$A26)+COUNTIF(MIERCOLES!$B:$B,$A26)+COUNTIF(JUEVES!$B:$B,$A26)+COUNTIF(VIERNES!$B:$B,$A26)+COUNTIF(SABADO!$B:$B,$A26)+COUNTIF(DOMINGO!$B:$B,$A26))</f>
        <v>1</v>
      </c>
      <c r="M26" s="96">
        <f>IF($A26="V000415",VLOOKUP($A26,BOLETIN!B:F,5,0),IFERROR(IFERROR(VLOOKUP($A26,CONSOLIDADO!$A:$D,4,0),VLOOKUP($A26,BOLETIN!$B:$F,5,0)),""))</f>
        <v>1311</v>
      </c>
      <c r="N26" s="335" t="s">
        <v>203</v>
      </c>
    </row>
    <row r="27" spans="1:14" x14ac:dyDescent="0.2">
      <c r="A27" s="95" t="str">
        <f>IF($B27="","",VLOOKUP(TRIM($B27),NSN!$A:$B,2,FALSE))</f>
        <v>V000037</v>
      </c>
      <c r="B27" s="336" t="s">
        <v>137</v>
      </c>
      <c r="C27" s="544">
        <v>1450</v>
      </c>
      <c r="D27" s="338"/>
      <c r="E27" s="338" t="s">
        <v>138</v>
      </c>
      <c r="F27" s="339">
        <v>1000</v>
      </c>
      <c r="G27" s="339">
        <v>0.90700000000000003</v>
      </c>
      <c r="H27" s="339">
        <f>41/100</f>
        <v>0.41</v>
      </c>
      <c r="I27" s="339">
        <f>3.6/100</f>
        <v>3.6000000000000004E-2</v>
      </c>
      <c r="J27" s="339">
        <f>0.3/100</f>
        <v>3.0000000000000001E-3</v>
      </c>
      <c r="K27" s="339">
        <f>5.9/100</f>
        <v>5.9000000000000004E-2</v>
      </c>
      <c r="L27" s="549">
        <f>IF($A27="","",COUNTIF(LUNES!$B:$B,$A27)+COUNTIF(MARTES!$B:$B,$A27)+COUNTIF(MIERCOLES!$B:$B,$A27)+COUNTIF(JUEVES!$B:$B,$A27)+COUNTIF(VIERNES!$B:$B,$A27)+COUNTIF(SABADO!$B:$B,$A27)+COUNTIF(DOMINGO!$B:$B,$A27))</f>
        <v>0</v>
      </c>
      <c r="M27" s="96">
        <f>IF($A27="V000415",VLOOKUP($A27,BOLETIN!B:F,5,0),IFERROR(IFERROR(VLOOKUP($A27,CONSOLIDADO!$A:$D,4,0),VLOOKUP($A27,BOLETIN!$B:$F,5,0)),""))</f>
        <v>1450</v>
      </c>
    </row>
    <row r="28" spans="1:14" x14ac:dyDescent="0.2">
      <c r="A28" s="95" t="str">
        <f>IF($B28="","",VLOOKUP(TRIM($B28),NSN!$A:$B,2,FALSE))</f>
        <v>C000523</v>
      </c>
      <c r="B28" s="336" t="s">
        <v>646</v>
      </c>
      <c r="C28" s="543">
        <v>9990</v>
      </c>
      <c r="D28" s="338"/>
      <c r="E28" s="338" t="s">
        <v>108</v>
      </c>
      <c r="F28" s="339">
        <v>400</v>
      </c>
      <c r="G28" s="339">
        <v>1</v>
      </c>
      <c r="H28" s="339">
        <f>261/100</f>
        <v>2.61</v>
      </c>
      <c r="I28" s="339">
        <f>16.4/100</f>
        <v>0.16399999999999998</v>
      </c>
      <c r="J28" s="339">
        <f>0.1/100</f>
        <v>1E-3</v>
      </c>
      <c r="K28" s="339">
        <f>49/100</f>
        <v>0.49</v>
      </c>
      <c r="L28" s="549">
        <f>IF($A28="","",COUNTIF(LUNES!$B:$B,$A28)+COUNTIF(MARTES!$B:$B,$A28)+COUNTIF(MIERCOLES!$B:$B,$A28)+COUNTIF(JUEVES!$B:$B,$A28)+COUNTIF(VIERNES!$B:$B,$A28)+COUNTIF(SABADO!$B:$B,$A28)+COUNTIF(DOMINGO!$B:$B,$A28))</f>
        <v>7</v>
      </c>
      <c r="M28" s="96">
        <f>IF($A28="V000415",VLOOKUP($A28,BOLETIN!B:F,5,0),IFERROR(IFERROR(VLOOKUP($A28,CONSOLIDADO!$A:$D,4,0),VLOOKUP($A28,BOLETIN!$B:$F,5,0)),""))</f>
        <v>9990</v>
      </c>
    </row>
    <row r="29" spans="1:14" x14ac:dyDescent="0.2">
      <c r="A29" s="95" t="str">
        <f>IF($B29="","",VLOOKUP(TRIM($B29),NSN!$A:$B,2,FALSE))</f>
        <v>V000048</v>
      </c>
      <c r="B29" s="336" t="s">
        <v>251</v>
      </c>
      <c r="C29" s="544">
        <v>8000</v>
      </c>
      <c r="D29" s="338" t="s">
        <v>32</v>
      </c>
      <c r="E29" s="338" t="s">
        <v>253</v>
      </c>
      <c r="F29" s="339">
        <v>15</v>
      </c>
      <c r="G29" s="339">
        <v>1</v>
      </c>
      <c r="H29" s="339">
        <f>255/100</f>
        <v>2.5499999999999998</v>
      </c>
      <c r="I29" s="339">
        <f>3.89/100</f>
        <v>3.8900000000000004E-2</v>
      </c>
      <c r="J29" s="339">
        <f>3.19/100</f>
        <v>3.1899999999999998E-2</v>
      </c>
      <c r="K29" s="339">
        <f>25.5/100</f>
        <v>0.255</v>
      </c>
      <c r="L29" s="549">
        <f>IF($A29="","",COUNTIF(LUNES!$B:$B,$A29)+COUNTIF(MARTES!$B:$B,$A29)+COUNTIF(MIERCOLES!$B:$B,$A29)+COUNTIF(JUEVES!$B:$B,$A29)+COUNTIF(VIERNES!$B:$B,$A29)+COUNTIF(SABADO!$B:$B,$A29)+COUNTIF(DOMINGO!$B:$B,$A29))</f>
        <v>0</v>
      </c>
      <c r="M29" s="96">
        <f>IF($A29="V000415",VLOOKUP($A29,BOLETIN!B:F,5,0),IFERROR(IFERROR(VLOOKUP($A29,CONSOLIDADO!$A:$D,4,0),VLOOKUP($A29,BOLETIN!$B:$F,5,0)),""))</f>
        <v>8000</v>
      </c>
    </row>
    <row r="30" spans="1:14" x14ac:dyDescent="0.2">
      <c r="A30" s="95" t="str">
        <f>IF($B30="","",VLOOKUP(TRIM($B30),NSN!$A:$B,2,FALSE))</f>
        <v>V000049</v>
      </c>
      <c r="B30" s="336" t="s">
        <v>238</v>
      </c>
      <c r="C30" s="544">
        <v>595</v>
      </c>
      <c r="D30" s="338"/>
      <c r="E30" s="338" t="s">
        <v>240</v>
      </c>
      <c r="F30" s="339">
        <v>18</v>
      </c>
      <c r="G30" s="339">
        <v>1</v>
      </c>
      <c r="H30" s="339">
        <f>255/100</f>
        <v>2.5499999999999998</v>
      </c>
      <c r="I30" s="339">
        <f>3.89/100</f>
        <v>3.8900000000000004E-2</v>
      </c>
      <c r="J30" s="339">
        <f>3.19/100</f>
        <v>3.1899999999999998E-2</v>
      </c>
      <c r="K30" s="339">
        <f>25.5/100</f>
        <v>0.255</v>
      </c>
      <c r="L30" s="549">
        <f>IF($A30="","",COUNTIF(LUNES!$B:$B,$A30)+COUNTIF(MARTES!$B:$B,$A30)+COUNTIF(MIERCOLES!$B:$B,$A30)+COUNTIF(JUEVES!$B:$B,$A30)+COUNTIF(VIERNES!$B:$B,$A30)+COUNTIF(SABADO!$B:$B,$A30)+COUNTIF(DOMINGO!$B:$B,$A30))</f>
        <v>0</v>
      </c>
      <c r="M30" s="96">
        <f>IF($A30="V000415",VLOOKUP($A30,BOLETIN!B:F,5,0),IFERROR(IFERROR(VLOOKUP($A30,CONSOLIDADO!$A:$D,4,0),VLOOKUP($A30,BOLETIN!$B:$F,5,0)),""))</f>
        <v>595</v>
      </c>
    </row>
    <row r="31" spans="1:14" x14ac:dyDescent="0.2">
      <c r="A31" s="95" t="str">
        <f>IF($B31="","",VLOOKUP(TRIM($B31),NSN!$A:$B,2,FALSE))</f>
        <v>C902632</v>
      </c>
      <c r="B31" s="336" t="s">
        <v>617</v>
      </c>
      <c r="C31" s="377" t="s">
        <v>1958</v>
      </c>
      <c r="D31" s="338"/>
      <c r="E31" s="338" t="s">
        <v>297</v>
      </c>
      <c r="F31" s="339">
        <v>4200</v>
      </c>
      <c r="G31" s="339">
        <v>1</v>
      </c>
      <c r="H31" s="339">
        <f>43/100</f>
        <v>0.43</v>
      </c>
      <c r="I31" s="339">
        <f>0.8/100</f>
        <v>8.0000000000000002E-3</v>
      </c>
      <c r="J31" s="339">
        <f>0.2/100</f>
        <v>2E-3</v>
      </c>
      <c r="K31" s="339">
        <f>9.6/100</f>
        <v>9.6000000000000002E-2</v>
      </c>
      <c r="L31" s="549">
        <f>IF($A31="","",COUNTIF(LUNES!$B:$B,$A31)+COUNTIF(MARTES!$B:$B,$A31)+COUNTIF(MIERCOLES!$B:$B,$A31)+COUNTIF(JUEVES!$B:$B,$A31)+COUNTIF(VIERNES!$B:$B,$A31)+COUNTIF(SABADO!$B:$B,$A31)+COUNTIF(DOMINGO!$B:$B,$A31))</f>
        <v>0</v>
      </c>
      <c r="M31" s="96" t="str">
        <f>IF($A31="V000415",VLOOKUP($A31,BOLETIN!B:F,5,0),IFERROR(IFERROR(VLOOKUP($A31,CONSOLIDADO!$A:$D,4,0),VLOOKUP($A31,BOLETIN!$B:$F,5,0)),""))</f>
        <v/>
      </c>
    </row>
    <row r="32" spans="1:14" x14ac:dyDescent="0.2">
      <c r="A32" s="95" t="str">
        <f>IF($B32="","",VLOOKUP(TRIM($B32),NSN!$A:$B,2,FALSE))</f>
        <v>C000249</v>
      </c>
      <c r="B32" s="336" t="s">
        <v>56</v>
      </c>
      <c r="C32" s="543">
        <v>640</v>
      </c>
      <c r="D32" s="338" t="s">
        <v>54</v>
      </c>
      <c r="E32" s="338" t="s">
        <v>15</v>
      </c>
      <c r="F32" s="339">
        <v>1000</v>
      </c>
      <c r="G32" s="339">
        <v>0.89100000000000001</v>
      </c>
      <c r="H32" s="339">
        <f>43/100</f>
        <v>0.43</v>
      </c>
      <c r="I32" s="339">
        <f>0.8/100</f>
        <v>8.0000000000000002E-3</v>
      </c>
      <c r="J32" s="339">
        <f>0.2/100</f>
        <v>2E-3</v>
      </c>
      <c r="K32" s="339">
        <f>9.6/100</f>
        <v>9.6000000000000002E-2</v>
      </c>
      <c r="L32" s="549">
        <f>IF($A32="","",COUNTIF(LUNES!$B:$B,$A32)+COUNTIF(MARTES!$B:$B,$A32)+COUNTIF(MIERCOLES!$B:$B,$A32)+COUNTIF(JUEVES!$B:$B,$A32)+COUNTIF(VIERNES!$B:$B,$A32)+COUNTIF(SABADO!$B:$B,$A32)+COUNTIF(DOMINGO!$B:$B,$A32))</f>
        <v>15</v>
      </c>
      <c r="M32" s="96">
        <f>IF($A32="V000415",VLOOKUP($A32,BOLETIN!B:F,5,0),IFERROR(IFERROR(VLOOKUP($A32,CONSOLIDADO!$A:$D,4,0),VLOOKUP($A32,BOLETIN!$B:$F,5,0)),""))</f>
        <v>640</v>
      </c>
    </row>
    <row r="33" spans="1:14" x14ac:dyDescent="0.2">
      <c r="A33" s="95" t="str">
        <f>IF($B33="","",VLOOKUP(TRIM($B33),NSN!$A:$B,2,FALSE))</f>
        <v>V000337</v>
      </c>
      <c r="B33" s="336" t="s">
        <v>194</v>
      </c>
      <c r="C33" s="544">
        <v>1226</v>
      </c>
      <c r="D33" s="338"/>
      <c r="E33" s="338" t="s">
        <v>232</v>
      </c>
      <c r="F33" s="339">
        <v>400</v>
      </c>
      <c r="G33" s="339">
        <v>0.89800000000000002</v>
      </c>
      <c r="H33" s="339">
        <f>43/100</f>
        <v>0.43</v>
      </c>
      <c r="I33" s="339">
        <f>0.8/100</f>
        <v>8.0000000000000002E-3</v>
      </c>
      <c r="J33" s="339">
        <f>0.2/100</f>
        <v>2E-3</v>
      </c>
      <c r="K33" s="339">
        <f>9.6/100</f>
        <v>9.6000000000000002E-2</v>
      </c>
      <c r="L33" s="549">
        <f>IF($A33="","",COUNTIF(LUNES!$B:$B,$A33)+COUNTIF(MARTES!$B:$B,$A33)+COUNTIF(MIERCOLES!$B:$B,$A33)+COUNTIF(JUEVES!$B:$B,$A33)+COUNTIF(VIERNES!$B:$B,$A33)+COUNTIF(SABADO!$B:$B,$A33)+COUNTIF(DOMINGO!$B:$B,$A33))</f>
        <v>1</v>
      </c>
      <c r="M33" s="96">
        <f>IF($A33="V000415",VLOOKUP($A33,BOLETIN!B:F,5,0),IFERROR(IFERROR(VLOOKUP($A33,CONSOLIDADO!$A:$D,4,0),VLOOKUP($A33,BOLETIN!$B:$F,5,0)),""))</f>
        <v>1226</v>
      </c>
      <c r="N33" s="335" t="s">
        <v>204</v>
      </c>
    </row>
    <row r="34" spans="1:14" x14ac:dyDescent="0.2">
      <c r="A34" s="95" t="str">
        <f>IF($B34="","",VLOOKUP(TRIM($B34),NSN!$A:$B,2,FALSE))</f>
        <v>C903421</v>
      </c>
      <c r="B34" s="336" t="s">
        <v>1949</v>
      </c>
      <c r="C34" s="543">
        <v>3990</v>
      </c>
      <c r="D34" s="338"/>
      <c r="E34" s="338" t="s">
        <v>15</v>
      </c>
      <c r="F34" s="339">
        <v>1000</v>
      </c>
      <c r="G34" s="339">
        <v>0.79700000000000004</v>
      </c>
      <c r="H34" s="339">
        <f>132/100</f>
        <v>1.32</v>
      </c>
      <c r="I34" s="339">
        <f>21.2/100</f>
        <v>0.21199999999999999</v>
      </c>
      <c r="J34" s="339">
        <f>4.4/100</f>
        <v>4.4000000000000004E-2</v>
      </c>
      <c r="K34" s="339">
        <f>1.8/100</f>
        <v>1.8000000000000002E-2</v>
      </c>
      <c r="L34" s="549">
        <f>IF($A34="","",COUNTIF(LUNES!$B:$B,$A34)+COUNTIF(MARTES!$B:$B,$A34)+COUNTIF(MIERCOLES!$B:$B,$A34)+COUNTIF(JUEVES!$B:$B,$A34)+COUNTIF(VIERNES!$B:$B,$A34)+COUNTIF(SABADO!$B:$B,$A34)+COUNTIF(DOMINGO!$B:$B,$A34))</f>
        <v>1</v>
      </c>
      <c r="M34" s="96">
        <f>IF($A34="V000415",VLOOKUP($A34,BOLETIN!B:F,5,0),IFERROR(IFERROR(VLOOKUP($A34,CONSOLIDADO!$A:$D,4,0),VLOOKUP($A34,BOLETIN!$B:$F,5,0)),""))</f>
        <v>3990</v>
      </c>
    </row>
    <row r="35" spans="1:14" x14ac:dyDescent="0.2">
      <c r="A35" s="95" t="str">
        <f>IF($B35="","",VLOOKUP(TRIM($B35),NSN!$A:$B,2,FALSE))</f>
        <v>C903333</v>
      </c>
      <c r="B35" s="336" t="s">
        <v>363</v>
      </c>
      <c r="C35" s="403">
        <v>1500</v>
      </c>
      <c r="D35" s="338"/>
      <c r="E35" s="338" t="s">
        <v>108</v>
      </c>
      <c r="F35" s="339">
        <v>400</v>
      </c>
      <c r="G35" s="339">
        <v>1</v>
      </c>
      <c r="H35" s="339">
        <f>24/100</f>
        <v>0.24</v>
      </c>
      <c r="I35" s="339">
        <f>1.9/100</f>
        <v>1.9E-2</v>
      </c>
      <c r="J35" s="339">
        <f>0.3/100</f>
        <v>3.0000000000000001E-3</v>
      </c>
      <c r="K35" s="339">
        <f>5/100</f>
        <v>0.05</v>
      </c>
      <c r="L35" s="549">
        <f>IF($A35="","",COUNTIF(LUNES!$B:$B,$A35)+COUNTIF(MARTES!$B:$B,$A35)+COUNTIF(MIERCOLES!$B:$B,$A35)+COUNTIF(JUEVES!$B:$B,$A35)+COUNTIF(VIERNES!$B:$B,$A35)+COUNTIF(SABADO!$B:$B,$A35)+COUNTIF(DOMINGO!$B:$B,$A35))</f>
        <v>0</v>
      </c>
      <c r="M35" s="96" t="str">
        <f>IF($A35="V000415",VLOOKUP($A35,BOLETIN!B:F,5,0),IFERROR(IFERROR(VLOOKUP($A35,CONSOLIDADO!$A:$D,4,0),VLOOKUP($A35,BOLETIN!$B:$F,5,0)),""))</f>
        <v/>
      </c>
    </row>
    <row r="36" spans="1:14" x14ac:dyDescent="0.2">
      <c r="A36" s="95" t="str">
        <f>IF($B36="","",VLOOKUP(TRIM($B36),NSN!$A:$B,2,FALSE))</f>
        <v>V000063</v>
      </c>
      <c r="B36" s="336" t="s">
        <v>618</v>
      </c>
      <c r="C36" s="544">
        <v>5105</v>
      </c>
      <c r="D36" s="338"/>
      <c r="E36" s="338" t="s">
        <v>108</v>
      </c>
      <c r="F36" s="339">
        <v>400</v>
      </c>
      <c r="G36" s="339">
        <v>1</v>
      </c>
      <c r="H36" s="339">
        <f>24/100</f>
        <v>0.24</v>
      </c>
      <c r="I36" s="339">
        <f>1.9/100</f>
        <v>1.9E-2</v>
      </c>
      <c r="J36" s="339">
        <f>0.3/100</f>
        <v>3.0000000000000001E-3</v>
      </c>
      <c r="K36" s="339">
        <f>5/100</f>
        <v>0.05</v>
      </c>
      <c r="L36" s="549">
        <f>IF($A36="","",COUNTIF(LUNES!$B:$B,$A36)+COUNTIF(MARTES!$B:$B,$A36)+COUNTIF(MIERCOLES!$B:$B,$A36)+COUNTIF(JUEVES!$B:$B,$A36)+COUNTIF(VIERNES!$B:$B,$A36)+COUNTIF(SABADO!$B:$B,$A36)+COUNTIF(DOMINGO!$B:$B,$A36))</f>
        <v>0</v>
      </c>
      <c r="M36" s="96">
        <f>IF($A36="V000415",VLOOKUP($A36,BOLETIN!B:F,5,0),IFERROR(IFERROR(VLOOKUP($A36,CONSOLIDADO!$A:$D,4,0),VLOOKUP($A36,BOLETIN!$B:$F,5,0)),""))</f>
        <v>5105</v>
      </c>
    </row>
    <row r="37" spans="1:14" x14ac:dyDescent="0.2">
      <c r="A37" s="95" t="str">
        <f>IF($B37="","",VLOOKUP(TRIM($B37),NSN!$A:$B,2,FALSE))</f>
        <v>V000064</v>
      </c>
      <c r="B37" s="336" t="s">
        <v>619</v>
      </c>
      <c r="C37" s="544">
        <v>1589</v>
      </c>
      <c r="D37" s="338" t="s">
        <v>32</v>
      </c>
      <c r="E37" s="338" t="s">
        <v>276</v>
      </c>
      <c r="F37" s="339">
        <v>200</v>
      </c>
      <c r="G37" s="339">
        <v>0.92500000000000004</v>
      </c>
      <c r="H37" s="339">
        <f>25/100</f>
        <v>0.25</v>
      </c>
      <c r="I37" s="339">
        <f>2.1/100</f>
        <v>2.1000000000000001E-2</v>
      </c>
      <c r="J37" s="339">
        <f>0.4/100</f>
        <v>4.0000000000000001E-3</v>
      </c>
      <c r="K37" s="339">
        <f>4.7/100</f>
        <v>4.7E-2</v>
      </c>
      <c r="L37" s="549">
        <f>IF($A37="","",COUNTIF(LUNES!$B:$B,$A37)+COUNTIF(MARTES!$B:$B,$A37)+COUNTIF(MIERCOLES!$B:$B,$A37)+COUNTIF(JUEVES!$B:$B,$A37)+COUNTIF(VIERNES!$B:$B,$A37)+COUNTIF(SABADO!$B:$B,$A37)+COUNTIF(DOMINGO!$B:$B,$A37))</f>
        <v>0</v>
      </c>
      <c r="M37" s="96">
        <f>IF($A37="V000415",VLOOKUP($A37,BOLETIN!B:F,5,0),IFERROR(IFERROR(VLOOKUP($A37,CONSOLIDADO!$A:$D,4,0),VLOOKUP($A37,BOLETIN!$B:$F,5,0)),""))</f>
        <v>1589</v>
      </c>
      <c r="N37" s="335" t="s">
        <v>205</v>
      </c>
    </row>
    <row r="38" spans="1:14" x14ac:dyDescent="0.2">
      <c r="A38" s="95" t="str">
        <f>IF($B38="","",VLOOKUP(TRIM($B38),NSN!$A:$B,2,FALSE))</f>
        <v>V000803</v>
      </c>
      <c r="B38" s="336" t="s">
        <v>647</v>
      </c>
      <c r="C38" s="544">
        <v>3694</v>
      </c>
      <c r="D38" s="338"/>
      <c r="E38" s="338" t="s">
        <v>15</v>
      </c>
      <c r="F38" s="339">
        <v>1000</v>
      </c>
      <c r="G38" s="339">
        <v>1</v>
      </c>
      <c r="H38" s="339">
        <f>60/100</f>
        <v>0.6</v>
      </c>
      <c r="I38" s="339">
        <f>5.2/100</f>
        <v>5.2000000000000005E-2</v>
      </c>
      <c r="J38" s="339">
        <f>2.2/100</f>
        <v>2.2000000000000002E-2</v>
      </c>
      <c r="K38" s="339">
        <f>7.4/100</f>
        <v>7.400000000000001E-2</v>
      </c>
      <c r="L38" s="549">
        <f>IF($A38="","",COUNTIF(LUNES!$B:$B,$A38)+COUNTIF(MARTES!$B:$B,$A38)+COUNTIF(MIERCOLES!$B:$B,$A38)+COUNTIF(JUEVES!$B:$B,$A38)+COUNTIF(VIERNES!$B:$B,$A38)+COUNTIF(SABADO!$B:$B,$A38)+COUNTIF(DOMINGO!$B:$B,$A38))</f>
        <v>0</v>
      </c>
      <c r="M38" s="96">
        <f>IF($A38="V000415",VLOOKUP($A38,BOLETIN!B:F,5,0),IFERROR(IFERROR(VLOOKUP($A38,CONSOLIDADO!$A:$D,4,0),VLOOKUP($A38,BOLETIN!$B:$F,5,0)),""))</f>
        <v>3694</v>
      </c>
      <c r="N38" s="335" t="s">
        <v>319</v>
      </c>
    </row>
    <row r="39" spans="1:14" x14ac:dyDescent="0.2">
      <c r="A39" s="95" t="str">
        <f>IF($B39="","",VLOOKUP(TRIM($B39),NSN!$A:$B,2,FALSE))</f>
        <v>C903292</v>
      </c>
      <c r="B39" s="336" t="s">
        <v>638</v>
      </c>
      <c r="C39" s="543">
        <v>1874</v>
      </c>
      <c r="D39" s="338"/>
      <c r="E39" s="338" t="s">
        <v>15</v>
      </c>
      <c r="F39" s="339">
        <v>1000</v>
      </c>
      <c r="G39" s="339">
        <v>1</v>
      </c>
      <c r="H39" s="339">
        <f>81/100</f>
        <v>0.81</v>
      </c>
      <c r="I39" s="339">
        <f>3/100</f>
        <v>0.03</v>
      </c>
      <c r="J39" s="339">
        <f>0/100</f>
        <v>0</v>
      </c>
      <c r="K39" s="339">
        <f>20.5/100</f>
        <v>0.20499999999999999</v>
      </c>
      <c r="L39" s="549">
        <f>IF($A39="","",COUNTIF(LUNES!$B:$B,$A39)+COUNTIF(MARTES!$B:$B,$A39)+COUNTIF(MIERCOLES!$B:$B,$A39)+COUNTIF(JUEVES!$B:$B,$A39)+COUNTIF(VIERNES!$B:$B,$A39)+COUNTIF(SABADO!$B:$B,$A39)+COUNTIF(DOMINGO!$B:$B,$A39))</f>
        <v>1</v>
      </c>
      <c r="M39" s="96">
        <f>IF($A39="V000415",VLOOKUP($A39,BOLETIN!B:F,5,0),IFERROR(IFERROR(VLOOKUP($A39,CONSOLIDADO!$A:$D,4,0),VLOOKUP($A39,BOLETIN!$B:$F,5,0)),""))</f>
        <v>1874</v>
      </c>
    </row>
    <row r="40" spans="1:14" x14ac:dyDescent="0.2">
      <c r="A40" s="95" t="str">
        <f>IF($B40="","",VLOOKUP(TRIM($B40),NSN!$A:$B,2,FALSE))</f>
        <v>V000073</v>
      </c>
      <c r="B40" s="336" t="s">
        <v>392</v>
      </c>
      <c r="C40" s="544">
        <v>8426</v>
      </c>
      <c r="D40" s="346"/>
      <c r="E40" s="346" t="s">
        <v>15</v>
      </c>
      <c r="F40" s="347">
        <v>1000</v>
      </c>
      <c r="G40" s="347">
        <v>1</v>
      </c>
      <c r="H40" s="348">
        <v>0.81</v>
      </c>
      <c r="I40" s="348">
        <v>0.03</v>
      </c>
      <c r="J40" s="348">
        <v>0</v>
      </c>
      <c r="K40" s="348">
        <v>0.20499999999999999</v>
      </c>
      <c r="L40" s="549">
        <f>IF($A40="","",COUNTIF(LUNES!$B:$B,$A40)+COUNTIF(MARTES!$B:$B,$A40)+COUNTIF(MIERCOLES!$B:$B,$A40)+COUNTIF(JUEVES!$B:$B,$A40)+COUNTIF(VIERNES!$B:$B,$A40)+COUNTIF(SABADO!$B:$B,$A40)+COUNTIF(DOMINGO!$B:$B,$A40))</f>
        <v>0</v>
      </c>
      <c r="M40" s="96">
        <f>IF($A40="V000415",VLOOKUP($A40,BOLETIN!B:F,5,0),IFERROR(IFERROR(VLOOKUP($A40,CONSOLIDADO!$A:$D,4,0),VLOOKUP($A40,BOLETIN!$B:$F,5,0)),""))</f>
        <v>8426</v>
      </c>
    </row>
    <row r="41" spans="1:14" x14ac:dyDescent="0.2">
      <c r="A41" s="95" t="str">
        <f>IF($B41="","",VLOOKUP(TRIM($B41),NSN!$A:$B,2,FALSE))</f>
        <v>V000079</v>
      </c>
      <c r="B41" s="336" t="s">
        <v>237</v>
      </c>
      <c r="C41" s="544">
        <v>4372</v>
      </c>
      <c r="D41" s="338"/>
      <c r="E41" s="338" t="s">
        <v>15</v>
      </c>
      <c r="F41" s="339">
        <v>1000</v>
      </c>
      <c r="G41" s="339">
        <v>0.43</v>
      </c>
      <c r="H41" s="341">
        <f>431/100</f>
        <v>4.3099999999999996</v>
      </c>
      <c r="I41" s="341">
        <f>13.4/100</f>
        <v>0.13400000000000001</v>
      </c>
      <c r="J41" s="341">
        <f>38.8/100</f>
        <v>0.38799999999999996</v>
      </c>
      <c r="K41" s="341">
        <f>7.1/100</f>
        <v>7.0999999999999994E-2</v>
      </c>
      <c r="L41" s="549">
        <f>IF($A41="","",COUNTIF(LUNES!$B:$B,$A41)+COUNTIF(MARTES!$B:$B,$A41)+COUNTIF(MIERCOLES!$B:$B,$A41)+COUNTIF(JUEVES!$B:$B,$A41)+COUNTIF(VIERNES!$B:$B,$A41)+COUNTIF(SABADO!$B:$B,$A41)+COUNTIF(DOMINGO!$B:$B,$A41))</f>
        <v>1</v>
      </c>
      <c r="M41" s="96">
        <f>IF($A41="V000415",VLOOKUP($A41,BOLETIN!B:F,5,0),IFERROR(IFERROR(VLOOKUP($A41,CONSOLIDADO!$A:$D,4,0),VLOOKUP($A41,BOLETIN!$B:$F,5,0)),""))</f>
        <v>4372</v>
      </c>
    </row>
    <row r="42" spans="1:14" x14ac:dyDescent="0.2">
      <c r="A42" s="95" t="str">
        <f>IF($B42="","",VLOOKUP(TRIM($B42),NSN!$A:$B,2,FALSE))</f>
        <v>V001103</v>
      </c>
      <c r="B42" s="336" t="s">
        <v>218</v>
      </c>
      <c r="C42" s="544">
        <v>1287</v>
      </c>
      <c r="D42" s="338"/>
      <c r="E42" s="338" t="s">
        <v>898</v>
      </c>
      <c r="F42" s="339">
        <v>50</v>
      </c>
      <c r="G42" s="339">
        <v>1</v>
      </c>
      <c r="H42" s="339">
        <f>59/100</f>
        <v>0.59</v>
      </c>
      <c r="I42" s="339">
        <f>3.9/100</f>
        <v>3.9E-2</v>
      </c>
      <c r="J42" s="339">
        <f>1.2/100</f>
        <v>1.2E-2</v>
      </c>
      <c r="K42" s="339">
        <f>8.1/100</f>
        <v>8.1000000000000003E-2</v>
      </c>
      <c r="L42" s="549">
        <f>IF($A42="","",COUNTIF(LUNES!$B:$B,$A42)+COUNTIF(MARTES!$B:$B,$A42)+COUNTIF(MIERCOLES!$B:$B,$A42)+COUNTIF(JUEVES!$B:$B,$A42)+COUNTIF(VIERNES!$B:$B,$A42)+COUNTIF(SABADO!$B:$B,$A42)+COUNTIF(DOMINGO!$B:$B,$A42))</f>
        <v>0</v>
      </c>
      <c r="M42" s="96">
        <f>IF($A42="V000415",VLOOKUP($A42,BOLETIN!B:F,5,0),IFERROR(IFERROR(VLOOKUP($A42,CONSOLIDADO!$A:$D,4,0),VLOOKUP($A42,BOLETIN!$B:$F,5,0)),""))</f>
        <v>1287</v>
      </c>
    </row>
    <row r="43" spans="1:14" x14ac:dyDescent="0.2">
      <c r="A43" s="95" t="str">
        <f>IF($B43="","",VLOOKUP(TRIM($B43),NSN!$A:$B,2,FALSE))</f>
        <v>V000083</v>
      </c>
      <c r="B43" s="336" t="s">
        <v>368</v>
      </c>
      <c r="C43" s="544">
        <v>1212</v>
      </c>
      <c r="D43" s="338"/>
      <c r="E43" s="338" t="s">
        <v>202</v>
      </c>
      <c r="F43" s="339">
        <v>120</v>
      </c>
      <c r="G43" s="339">
        <v>0.87709999999999999</v>
      </c>
      <c r="H43" s="339">
        <f>59/100</f>
        <v>0.59</v>
      </c>
      <c r="I43" s="339">
        <f>3.9/100</f>
        <v>3.9E-2</v>
      </c>
      <c r="J43" s="339">
        <f>1.2/100</f>
        <v>1.2E-2</v>
      </c>
      <c r="K43" s="339">
        <f>8.1/100</f>
        <v>8.1000000000000003E-2</v>
      </c>
      <c r="L43" s="549">
        <f>IF($A43="","",COUNTIF(LUNES!$B:$B,$A43)+COUNTIF(MARTES!$B:$B,$A43)+COUNTIF(MIERCOLES!$B:$B,$A43)+COUNTIF(JUEVES!$B:$B,$A43)+COUNTIF(VIERNES!$B:$B,$A43)+COUNTIF(SABADO!$B:$B,$A43)+COUNTIF(DOMINGO!$B:$B,$A43))</f>
        <v>2</v>
      </c>
      <c r="M43" s="96">
        <f>IF($A43="V000415",VLOOKUP($A43,BOLETIN!B:F,5,0),IFERROR(IFERROR(VLOOKUP($A43,CONSOLIDADO!$A:$D,4,0),VLOOKUP($A43,BOLETIN!$B:$F,5,0)),""))</f>
        <v>1212</v>
      </c>
    </row>
    <row r="44" spans="1:14" x14ac:dyDescent="0.2">
      <c r="A44" s="95" t="str">
        <f>IF($B44="","",VLOOKUP(TRIM($B44),NSN!$A:$B,2,FALSE))</f>
        <v>V001104</v>
      </c>
      <c r="B44" s="336" t="s">
        <v>900</v>
      </c>
      <c r="C44" s="337" t="s">
        <v>627</v>
      </c>
      <c r="D44" s="338"/>
      <c r="E44" s="338" t="s">
        <v>15</v>
      </c>
      <c r="F44" s="339">
        <v>1000</v>
      </c>
      <c r="G44" s="339">
        <v>0.87709999999999999</v>
      </c>
      <c r="H44" s="339">
        <f>59/100</f>
        <v>0.59</v>
      </c>
      <c r="I44" s="339">
        <f>3.9/100</f>
        <v>3.9E-2</v>
      </c>
      <c r="J44" s="339">
        <f>1.2/100</f>
        <v>1.2E-2</v>
      </c>
      <c r="K44" s="339">
        <f>8.1/100</f>
        <v>8.1000000000000003E-2</v>
      </c>
      <c r="L44" s="549">
        <f>IF($A44="","",COUNTIF(LUNES!$B:$B,$A44)+COUNTIF(MARTES!$B:$B,$A44)+COUNTIF(MIERCOLES!$B:$B,$A44)+COUNTIF(JUEVES!$B:$B,$A44)+COUNTIF(VIERNES!$B:$B,$A44)+COUNTIF(SABADO!$B:$B,$A44)+COUNTIF(DOMINGO!$B:$B,$A44))</f>
        <v>0</v>
      </c>
      <c r="M44" s="96">
        <f>IF($A44="V000415",VLOOKUP($A44,BOLETIN!B:F,5,0),IFERROR(IFERROR(VLOOKUP($A44,CONSOLIDADO!$A:$D,4,0),VLOOKUP($A44,BOLETIN!$B:$F,5,0)),""))</f>
        <v>1942</v>
      </c>
    </row>
    <row r="45" spans="1:14" x14ac:dyDescent="0.2">
      <c r="A45" s="95" t="str">
        <f>IF($B45="","",VLOOKUP(TRIM($B45),NSN!$A:$B,2,FALSE))</f>
        <v>V000787</v>
      </c>
      <c r="B45" s="336" t="s">
        <v>620</v>
      </c>
      <c r="C45" s="344">
        <v>3504</v>
      </c>
      <c r="D45" s="338"/>
      <c r="E45" s="338" t="s">
        <v>15</v>
      </c>
      <c r="F45" s="339">
        <v>1000</v>
      </c>
      <c r="G45" s="339">
        <v>1</v>
      </c>
      <c r="H45" s="339">
        <f>45/100</f>
        <v>0.45</v>
      </c>
      <c r="I45" s="339">
        <f>0.6/100</f>
        <v>6.0000000000000001E-3</v>
      </c>
      <c r="J45" s="339">
        <f>0.2/100</f>
        <v>2E-3</v>
      </c>
      <c r="K45" s="339">
        <f>10.1/100</f>
        <v>0.10099999999999999</v>
      </c>
      <c r="L45" s="549">
        <f>IF($A45="","",COUNTIF(LUNES!$B:$B,$A45)+COUNTIF(MARTES!$B:$B,$A45)+COUNTIF(MIERCOLES!$B:$B,$A45)+COUNTIF(JUEVES!$B:$B,$A45)+COUNTIF(VIERNES!$B:$B,$A45)+COUNTIF(SABADO!$B:$B,$A45)+COUNTIF(DOMINGO!$B:$B,$A45))</f>
        <v>0</v>
      </c>
      <c r="M45" s="96" t="str">
        <f>IF($A45="V000415",VLOOKUP($A45,BOLETIN!B:F,5,0),IFERROR(IFERROR(VLOOKUP($A45,CONSOLIDADO!$A:$D,4,0),VLOOKUP($A45,BOLETIN!$B:$F,5,0)),""))</f>
        <v/>
      </c>
    </row>
    <row r="46" spans="1:14" x14ac:dyDescent="0.2">
      <c r="A46" s="95" t="str">
        <f>IF($B46="","",VLOOKUP(TRIM($B46),NSN!$A:$B,2,FALSE))</f>
        <v>C903236</v>
      </c>
      <c r="B46" s="336" t="s">
        <v>639</v>
      </c>
      <c r="C46" s="377" t="s">
        <v>1958</v>
      </c>
      <c r="D46" s="338"/>
      <c r="E46" s="338" t="s">
        <v>281</v>
      </c>
      <c r="F46" s="339">
        <v>3000</v>
      </c>
      <c r="G46" s="339">
        <v>1</v>
      </c>
      <c r="H46" s="339">
        <f>93/100</f>
        <v>0.93</v>
      </c>
      <c r="I46" s="339">
        <f>0.4/100</f>
        <v>4.0000000000000001E-3</v>
      </c>
      <c r="J46" s="339">
        <f>0.1/100</f>
        <v>1E-3</v>
      </c>
      <c r="K46" s="339">
        <f>22.7/100</f>
        <v>0.22699999999999998</v>
      </c>
      <c r="L46" s="549">
        <f>IF($A46="","",COUNTIF(LUNES!$B:$B,$A46)+COUNTIF(MARTES!$B:$B,$A46)+COUNTIF(MIERCOLES!$B:$B,$A46)+COUNTIF(JUEVES!$B:$B,$A46)+COUNTIF(VIERNES!$B:$B,$A46)+COUNTIF(SABADO!$B:$B,$A46)+COUNTIF(DOMINGO!$B:$B,$A46))</f>
        <v>0</v>
      </c>
      <c r="M46" s="96" t="str">
        <f>IF($A46="V000415",VLOOKUP($A46,BOLETIN!B:F,5,0),IFERROR(IFERROR(VLOOKUP($A46,CONSOLIDADO!$A:$D,4,0),VLOOKUP($A46,BOLETIN!$B:$F,5,0)),""))</f>
        <v/>
      </c>
    </row>
    <row r="47" spans="1:14" x14ac:dyDescent="0.2">
      <c r="A47" s="95" t="str">
        <f>IF($B47="","",VLOOKUP(TRIM($B47),NSN!$A:$B,2,FALSE))</f>
        <v>V000090</v>
      </c>
      <c r="B47" s="336" t="s">
        <v>184</v>
      </c>
      <c r="C47" s="344">
        <v>2023</v>
      </c>
      <c r="D47" s="338"/>
      <c r="E47" s="338" t="s">
        <v>15</v>
      </c>
      <c r="F47" s="339">
        <v>1000</v>
      </c>
      <c r="G47" s="339">
        <v>1</v>
      </c>
      <c r="H47" s="339">
        <f>39/100</f>
        <v>0.39</v>
      </c>
      <c r="I47" s="339">
        <f>2.7/100</f>
        <v>2.7000000000000003E-2</v>
      </c>
      <c r="J47" s="339">
        <f>0.6/100</f>
        <v>6.0000000000000001E-3</v>
      </c>
      <c r="K47" s="339">
        <f>5.8/100</f>
        <v>5.7999999999999996E-2</v>
      </c>
      <c r="L47" s="549">
        <f>IF($A47="","",COUNTIF(LUNES!$B:$B,$A47)+COUNTIF(MARTES!$B:$B,$A47)+COUNTIF(MIERCOLES!$B:$B,$A47)+COUNTIF(JUEVES!$B:$B,$A47)+COUNTIF(VIERNES!$B:$B,$A47)+COUNTIF(SABADO!$B:$B,$A47)+COUNTIF(DOMINGO!$B:$B,$A47))</f>
        <v>0</v>
      </c>
      <c r="M47" s="96" t="str">
        <f>IF($A47="V000415",VLOOKUP($A47,BOLETIN!B:F,5,0),IFERROR(IFERROR(VLOOKUP($A47,CONSOLIDADO!$A:$D,4,0),VLOOKUP($A47,BOLETIN!$B:$F,5,0)),""))</f>
        <v/>
      </c>
      <c r="N47" s="335" t="s">
        <v>319</v>
      </c>
    </row>
    <row r="48" spans="1:14" x14ac:dyDescent="0.2">
      <c r="A48" s="95" t="str">
        <f>IF($B48="","",VLOOKUP(TRIM($B48),NSN!$A:$B,2,FALSE))</f>
        <v>V000091</v>
      </c>
      <c r="B48" s="336" t="s">
        <v>139</v>
      </c>
      <c r="C48" s="544">
        <v>1740</v>
      </c>
      <c r="D48" s="338" t="s">
        <v>32</v>
      </c>
      <c r="E48" s="338" t="s">
        <v>138</v>
      </c>
      <c r="F48" s="339">
        <v>1000</v>
      </c>
      <c r="G48" s="339">
        <v>0.93</v>
      </c>
      <c r="H48" s="339">
        <f>39/100</f>
        <v>0.39</v>
      </c>
      <c r="I48" s="339">
        <f>2.7/100</f>
        <v>2.7000000000000003E-2</v>
      </c>
      <c r="J48" s="339">
        <f>0.6/100</f>
        <v>6.0000000000000001E-3</v>
      </c>
      <c r="K48" s="339">
        <f>5.8/100</f>
        <v>5.7999999999999996E-2</v>
      </c>
      <c r="L48" s="549">
        <f>IF($A48="","",COUNTIF(LUNES!$B:$B,$A48)+COUNTIF(MARTES!$B:$B,$A48)+COUNTIF(MIERCOLES!$B:$B,$A48)+COUNTIF(JUEVES!$B:$B,$A48)+COUNTIF(VIERNES!$B:$B,$A48)+COUNTIF(SABADO!$B:$B,$A48)+COUNTIF(DOMINGO!$B:$B,$A48))</f>
        <v>0</v>
      </c>
      <c r="M48" s="96">
        <f>IF($A48="V000415",VLOOKUP($A48,BOLETIN!B:F,5,0),IFERROR(IFERROR(VLOOKUP($A48,CONSOLIDADO!$A:$D,4,0),VLOOKUP($A48,BOLETIN!$B:$F,5,0)),""))</f>
        <v>1740</v>
      </c>
    </row>
    <row r="49" spans="1:14" x14ac:dyDescent="0.2">
      <c r="A49" s="95" t="str">
        <f>IF($B49="","",VLOOKUP(TRIM($B49),NSN!$A:$B,2,FALSE))</f>
        <v>C903242</v>
      </c>
      <c r="B49" s="336" t="s">
        <v>640</v>
      </c>
      <c r="C49" s="543">
        <v>2690</v>
      </c>
      <c r="D49" s="338"/>
      <c r="E49" s="338" t="s">
        <v>15</v>
      </c>
      <c r="F49" s="339">
        <v>1000</v>
      </c>
      <c r="G49" s="339">
        <v>1</v>
      </c>
      <c r="H49" s="339">
        <f>82/100</f>
        <v>0.82</v>
      </c>
      <c r="I49" s="339">
        <f>2.7/100</f>
        <v>2.7000000000000003E-2</v>
      </c>
      <c r="J49" s="339">
        <f>1/100</f>
        <v>0.01</v>
      </c>
      <c r="K49" s="339">
        <f>15.5/100</f>
        <v>0.155</v>
      </c>
      <c r="L49" s="549">
        <f>IF($A49="","",COUNTIF(LUNES!$B:$B,$A49)+COUNTIF(MARTES!$B:$B,$A49)+COUNTIF(MIERCOLES!$B:$B,$A49)+COUNTIF(JUEVES!$B:$B,$A49)+COUNTIF(VIERNES!$B:$B,$A49)+COUNTIF(SABADO!$B:$B,$A49)+COUNTIF(DOMINGO!$B:$B,$A49))</f>
        <v>2</v>
      </c>
      <c r="M49" s="96">
        <f>IF($A49="V000415",VLOOKUP($A49,BOLETIN!B:F,5,0),IFERROR(IFERROR(VLOOKUP($A49,CONSOLIDADO!$A:$D,4,0),VLOOKUP($A49,BOLETIN!$B:$F,5,0)),""))</f>
        <v>2690</v>
      </c>
    </row>
    <row r="50" spans="1:14" x14ac:dyDescent="0.2">
      <c r="A50" s="95" t="str">
        <f>IF($B50="","",VLOOKUP(TRIM($B50),NSN!$A:$B,2,FALSE))</f>
        <v>C902845</v>
      </c>
      <c r="B50" s="336" t="s">
        <v>399</v>
      </c>
      <c r="C50" s="543">
        <v>2000</v>
      </c>
      <c r="D50" s="338"/>
      <c r="E50" s="338" t="s">
        <v>15</v>
      </c>
      <c r="F50" s="339">
        <v>1000</v>
      </c>
      <c r="G50" s="339">
        <v>1</v>
      </c>
      <c r="H50" s="339">
        <f>313/100</f>
        <v>3.13</v>
      </c>
      <c r="I50" s="339">
        <f>6.7/100</f>
        <v>6.7000000000000004E-2</v>
      </c>
      <c r="J50" s="339">
        <f>2.5/100</f>
        <v>2.5000000000000001E-2</v>
      </c>
      <c r="K50" s="339">
        <f>66/100</f>
        <v>0.66</v>
      </c>
      <c r="L50" s="549">
        <f>IF($A50="","",COUNTIF(LUNES!$B:$B,$A50)+COUNTIF(MARTES!$B:$B,$A50)+COUNTIF(MIERCOLES!$B:$B,$A50)+COUNTIF(JUEVES!$B:$B,$A50)+COUNTIF(VIERNES!$B:$B,$A50)+COUNTIF(SABADO!$B:$B,$A50)+COUNTIF(DOMINGO!$B:$B,$A50))</f>
        <v>1</v>
      </c>
      <c r="M50" s="96">
        <f>IF($A50="V000415",VLOOKUP($A50,BOLETIN!B:F,5,0),IFERROR(IFERROR(VLOOKUP($A50,CONSOLIDADO!$A:$D,4,0),VLOOKUP($A50,BOLETIN!$B:$F,5,0)),""))</f>
        <v>2000</v>
      </c>
    </row>
    <row r="51" spans="1:14" x14ac:dyDescent="0.2">
      <c r="A51" s="95" t="str">
        <f>IF($B51="","",VLOOKUP(TRIM($B51),NSN!$A:$B,2,FALSE))</f>
        <v>C902846</v>
      </c>
      <c r="B51" s="336" t="s">
        <v>400</v>
      </c>
      <c r="C51" s="403" t="s">
        <v>1958</v>
      </c>
      <c r="D51" s="338"/>
      <c r="E51" s="338" t="s">
        <v>15</v>
      </c>
      <c r="F51" s="339">
        <v>1000</v>
      </c>
      <c r="G51" s="339">
        <v>1</v>
      </c>
      <c r="H51" s="339">
        <f>308/100</f>
        <v>3.08</v>
      </c>
      <c r="I51" s="339">
        <f>7.9/100</f>
        <v>7.9000000000000001E-2</v>
      </c>
      <c r="J51" s="339">
        <f>2.2/100</f>
        <v>2.2000000000000002E-2</v>
      </c>
      <c r="K51" s="339">
        <f>64/100</f>
        <v>0.64</v>
      </c>
      <c r="L51" s="549">
        <f>IF($A51="","",COUNTIF(LUNES!$B:$B,$A51)+COUNTIF(MARTES!$B:$B,$A51)+COUNTIF(MIERCOLES!$B:$B,$A51)+COUNTIF(JUEVES!$B:$B,$A51)+COUNTIF(VIERNES!$B:$B,$A51)+COUNTIF(SABADO!$B:$B,$A51)+COUNTIF(DOMINGO!$B:$B,$A51))</f>
        <v>0</v>
      </c>
      <c r="M51" s="96">
        <f>IF($A51="V000415",VLOOKUP($A51,BOLETIN!B:F,5,0),IFERROR(IFERROR(VLOOKUP($A51,CONSOLIDADO!$A:$D,4,0),VLOOKUP($A51,BOLETIN!$B:$F,5,0)),""))</f>
        <v>2111</v>
      </c>
    </row>
    <row r="52" spans="1:14" x14ac:dyDescent="0.2">
      <c r="A52" s="95" t="str">
        <f>IF($B52="","",VLOOKUP(TRIM($B52),NSN!$A:$B,2,FALSE))</f>
        <v>C902847</v>
      </c>
      <c r="B52" s="336" t="s">
        <v>621</v>
      </c>
      <c r="C52" s="543">
        <v>2361</v>
      </c>
      <c r="D52" s="338"/>
      <c r="E52" s="338" t="s">
        <v>15</v>
      </c>
      <c r="F52" s="339">
        <v>1000</v>
      </c>
      <c r="G52" s="339">
        <v>1</v>
      </c>
      <c r="H52" s="339">
        <f>302/100</f>
        <v>3.02</v>
      </c>
      <c r="I52" s="339">
        <f>6.5/100</f>
        <v>6.5000000000000002E-2</v>
      </c>
      <c r="J52" s="339">
        <f>2.2/100</f>
        <v>2.2000000000000002E-2</v>
      </c>
      <c r="K52" s="339">
        <f>64/100</f>
        <v>0.64</v>
      </c>
      <c r="L52" s="549">
        <f>IF($A52="","",COUNTIF(LUNES!$B:$B,$A52)+COUNTIF(MARTES!$B:$B,$A52)+COUNTIF(MIERCOLES!$B:$B,$A52)+COUNTIF(JUEVES!$B:$B,$A52)+COUNTIF(VIERNES!$B:$B,$A52)+COUNTIF(SABADO!$B:$B,$A52)+COUNTIF(DOMINGO!$B:$B,$A52))</f>
        <v>1</v>
      </c>
      <c r="M52" s="96">
        <f>IF($A52="V000415",VLOOKUP($A52,BOLETIN!B:F,5,0),IFERROR(IFERROR(VLOOKUP($A52,CONSOLIDADO!$A:$D,4,0),VLOOKUP($A52,BOLETIN!$B:$F,5,0)),""))</f>
        <v>2361</v>
      </c>
    </row>
    <row r="53" spans="1:14" x14ac:dyDescent="0.2">
      <c r="A53" s="95" t="str">
        <f>IF($B53="","",VLOOKUP(TRIM($B53),NSN!$A:$B,2,FALSE))</f>
        <v>C902848</v>
      </c>
      <c r="B53" s="336" t="s">
        <v>648</v>
      </c>
      <c r="C53" s="543">
        <v>2024</v>
      </c>
      <c r="D53" s="338"/>
      <c r="E53" s="338" t="s">
        <v>15</v>
      </c>
      <c r="F53" s="339">
        <v>1000</v>
      </c>
      <c r="G53" s="339">
        <v>1</v>
      </c>
      <c r="H53" s="339">
        <f>301/100</f>
        <v>3.01</v>
      </c>
      <c r="I53" s="339">
        <f>6.3/100</f>
        <v>6.3E-2</v>
      </c>
      <c r="J53" s="339">
        <f>2.2/100</f>
        <v>2.2000000000000002E-2</v>
      </c>
      <c r="K53" s="339">
        <f>64/100</f>
        <v>0.64</v>
      </c>
      <c r="L53" s="549">
        <f>IF($A53="","",COUNTIF(LUNES!$B:$B,$A53)+COUNTIF(MARTES!$B:$B,$A53)+COUNTIF(MIERCOLES!$B:$B,$A53)+COUNTIF(JUEVES!$B:$B,$A53)+COUNTIF(VIERNES!$B:$B,$A53)+COUNTIF(SABADO!$B:$B,$A53)+COUNTIF(DOMINGO!$B:$B,$A53))</f>
        <v>1</v>
      </c>
      <c r="M53" s="96">
        <f>IF($A53="V000415",VLOOKUP($A53,BOLETIN!B:F,5,0),IFERROR(IFERROR(VLOOKUP($A53,CONSOLIDADO!$A:$D,4,0),VLOOKUP($A53,BOLETIN!$B:$F,5,0)),""))</f>
        <v>2024</v>
      </c>
    </row>
    <row r="54" spans="1:14" x14ac:dyDescent="0.2">
      <c r="A54" s="95" t="str">
        <f>IF($B54="","",VLOOKUP(TRIM($B54),NSN!$A:$B,2,FALSE))</f>
        <v>C903543</v>
      </c>
      <c r="B54" s="336" t="s">
        <v>2296</v>
      </c>
      <c r="C54" s="403">
        <v>3572</v>
      </c>
      <c r="D54" s="338"/>
      <c r="E54" s="338" t="s">
        <v>15</v>
      </c>
      <c r="F54" s="339">
        <v>1000</v>
      </c>
      <c r="G54" s="339">
        <v>1</v>
      </c>
      <c r="H54" s="339">
        <f>313/100</f>
        <v>3.13</v>
      </c>
      <c r="I54" s="339">
        <f>6.7/100</f>
        <v>6.7000000000000004E-2</v>
      </c>
      <c r="J54" s="339">
        <f>2.5/100</f>
        <v>2.5000000000000001E-2</v>
      </c>
      <c r="K54" s="339">
        <f>66/100</f>
        <v>0.66</v>
      </c>
      <c r="L54" s="549">
        <f>IF($A54="","",COUNTIF(LUNES!$B:$B,$A54)+COUNTIF(MARTES!$B:$B,$A54)+COUNTIF(MIERCOLES!$B:$B,$A54)+COUNTIF(JUEVES!$B:$B,$A54)+COUNTIF(VIERNES!$B:$B,$A54)+COUNTIF(SABADO!$B:$B,$A54)+COUNTIF(DOMINGO!$B:$B,$A54))</f>
        <v>1</v>
      </c>
      <c r="M54" s="96">
        <f>IF($A54="V000415",VLOOKUP($A54,BOLETIN!B:F,5,0),IFERROR(IFERROR(VLOOKUP($A54,CONSOLIDADO!$A:$D,4,0),VLOOKUP($A54,BOLETIN!$B:$F,5,0)),""))</f>
        <v>3572</v>
      </c>
    </row>
    <row r="55" spans="1:14" x14ac:dyDescent="0.2">
      <c r="A55" s="95" t="str">
        <f>IF($B55="","",VLOOKUP(TRIM($B55),NSN!$A:$B,2,FALSE))</f>
        <v>V000365</v>
      </c>
      <c r="B55" s="336" t="s">
        <v>33</v>
      </c>
      <c r="C55" s="544">
        <v>2345</v>
      </c>
      <c r="D55" s="338"/>
      <c r="E55" s="338" t="s">
        <v>215</v>
      </c>
      <c r="F55" s="339">
        <v>240</v>
      </c>
      <c r="G55" s="339">
        <v>1</v>
      </c>
      <c r="H55" s="339">
        <f>249/100</f>
        <v>2.4900000000000002</v>
      </c>
      <c r="I55" s="339">
        <f>2.5/100</f>
        <v>2.5000000000000001E-2</v>
      </c>
      <c r="J55" s="339">
        <f>25/100</f>
        <v>0.25</v>
      </c>
      <c r="K55" s="339">
        <f>3.6/100</f>
        <v>3.6000000000000004E-2</v>
      </c>
      <c r="L55" s="549">
        <f>IF($A55="","",COUNTIF(LUNES!$B:$B,$A55)+COUNTIF(MARTES!$B:$B,$A55)+COUNTIF(MIERCOLES!$B:$B,$A55)+COUNTIF(JUEVES!$B:$B,$A55)+COUNTIF(VIERNES!$B:$B,$A55)+COUNTIF(SABADO!$B:$B,$A55)+COUNTIF(DOMINGO!$B:$B,$A55))</f>
        <v>0</v>
      </c>
      <c r="M55" s="96">
        <f>IF($A55="V000415",VLOOKUP($A55,BOLETIN!B:F,5,0),IFERROR(IFERROR(VLOOKUP($A55,CONSOLIDADO!$A:$D,4,0),VLOOKUP($A55,BOLETIN!$B:$F,5,0)),""))</f>
        <v>2345</v>
      </c>
      <c r="N55" s="349" t="s">
        <v>242</v>
      </c>
    </row>
    <row r="56" spans="1:14" x14ac:dyDescent="0.2">
      <c r="A56" s="95" t="str">
        <f>IF($B56="","",VLOOKUP(TRIM($B56),NSN!$A:$B,2,FALSE))</f>
        <v>V000478</v>
      </c>
      <c r="B56" s="336" t="s">
        <v>534</v>
      </c>
      <c r="C56" s="403">
        <v>465</v>
      </c>
      <c r="D56" s="338"/>
      <c r="E56" s="338" t="s">
        <v>15</v>
      </c>
      <c r="F56" s="339">
        <v>1000</v>
      </c>
      <c r="G56" s="339">
        <v>1</v>
      </c>
      <c r="H56" s="339">
        <f>325/100</f>
        <v>3.25</v>
      </c>
      <c r="I56" s="339">
        <f>12.66/100</f>
        <v>0.12659999999999999</v>
      </c>
      <c r="J56" s="339">
        <f>13.81</f>
        <v>13.81</v>
      </c>
      <c r="K56" s="339">
        <f>58.15/100</f>
        <v>0.58150000000000002</v>
      </c>
      <c r="L56" s="549">
        <f>IF($A56="","",COUNTIF(LUNES!$B:$B,$A56)+COUNTIF(MARTES!$B:$B,$A56)+COUNTIF(MIERCOLES!$B:$B,$A56)+COUNTIF(JUEVES!$B:$B,$A56)+COUNTIF(VIERNES!$B:$B,$A56)+COUNTIF(SABADO!$B:$B,$A56)+COUNTIF(DOMINGO!$B:$B,$A56))</f>
        <v>1</v>
      </c>
      <c r="M56" s="96" t="str">
        <f>IF($A56="V000415",VLOOKUP($A56,BOLETIN!B:F,5,0),IFERROR(IFERROR(VLOOKUP($A56,CONSOLIDADO!$A:$D,4,0),VLOOKUP($A56,BOLETIN!$B:$F,5,0)),""))</f>
        <v/>
      </c>
      <c r="N56" s="349"/>
    </row>
    <row r="57" spans="1:14" x14ac:dyDescent="0.2">
      <c r="A57" s="95" t="str">
        <f>IF($B57="","",VLOOKUP(TRIM($B57),NSN!$A:$B,2,FALSE))</f>
        <v>V000338</v>
      </c>
      <c r="B57" s="336" t="s">
        <v>391</v>
      </c>
      <c r="C57" s="544">
        <v>790</v>
      </c>
      <c r="D57" s="338"/>
      <c r="E57" s="338" t="s">
        <v>385</v>
      </c>
      <c r="F57" s="339">
        <v>500</v>
      </c>
      <c r="G57" s="339">
        <v>1</v>
      </c>
      <c r="H57" s="339">
        <v>0</v>
      </c>
      <c r="I57" s="339">
        <v>0</v>
      </c>
      <c r="J57" s="339">
        <v>0</v>
      </c>
      <c r="K57" s="339">
        <v>0</v>
      </c>
      <c r="L57" s="549">
        <f>IF($A57="","",COUNTIF(LUNES!$B:$B,$A57)+COUNTIF(MARTES!$B:$B,$A57)+COUNTIF(MIERCOLES!$B:$B,$A57)+COUNTIF(JUEVES!$B:$B,$A57)+COUNTIF(VIERNES!$B:$B,$A57)+COUNTIF(SABADO!$B:$B,$A57)+COUNTIF(DOMINGO!$B:$B,$A57))</f>
        <v>1</v>
      </c>
      <c r="M57" s="96">
        <f>IF($A57="V000415",VLOOKUP($A57,BOLETIN!B:F,5,0),IFERROR(IFERROR(VLOOKUP($A57,CONSOLIDADO!$A:$D,4,0),VLOOKUP($A57,BOLETIN!$B:$F,5,0)),""))</f>
        <v>790</v>
      </c>
      <c r="N57" s="349"/>
    </row>
    <row r="58" spans="1:14" x14ac:dyDescent="0.2">
      <c r="A58" s="95" t="str">
        <f>IF($B58="","",VLOOKUP(TRIM($B58),NSN!$A:$B,2,FALSE))</f>
        <v>V000115</v>
      </c>
      <c r="B58" s="336" t="s">
        <v>93</v>
      </c>
      <c r="C58" s="544">
        <v>1733</v>
      </c>
      <c r="D58" s="338"/>
      <c r="E58" s="338" t="s">
        <v>15</v>
      </c>
      <c r="F58" s="339">
        <v>1000</v>
      </c>
      <c r="G58" s="339">
        <v>0.85599999999999998</v>
      </c>
      <c r="H58" s="339">
        <f>52/100</f>
        <v>0.52</v>
      </c>
      <c r="I58" s="339">
        <f>0.8/100</f>
        <v>8.0000000000000002E-3</v>
      </c>
      <c r="J58" s="339">
        <f>0.3/100</f>
        <v>3.0000000000000001E-3</v>
      </c>
      <c r="K58" s="339">
        <f>11.6/100</f>
        <v>0.11599999999999999</v>
      </c>
      <c r="L58" s="549">
        <f>IF($A58="","",COUNTIF(LUNES!$B:$B,$A58)+COUNTIF(MARTES!$B:$B,$A58)+COUNTIF(MIERCOLES!$B:$B,$A58)+COUNTIF(JUEVES!$B:$B,$A58)+COUNTIF(VIERNES!$B:$B,$A58)+COUNTIF(SABADO!$B:$B,$A58)+COUNTIF(DOMINGO!$B:$B,$A58))</f>
        <v>0</v>
      </c>
      <c r="M58" s="96">
        <f>IF($A58="V000415",VLOOKUP($A58,BOLETIN!B:F,5,0),IFERROR(IFERROR(VLOOKUP($A58,CONSOLIDADO!$A:$D,4,0),VLOOKUP($A58,BOLETIN!$B:$F,5,0)),""))</f>
        <v>1733</v>
      </c>
    </row>
    <row r="59" spans="1:14" x14ac:dyDescent="0.2">
      <c r="A59" s="95" t="str">
        <f>IF($B59="","",VLOOKUP(TRIM($B59),NSN!$A:$B,2,FALSE))</f>
        <v>C903235</v>
      </c>
      <c r="B59" s="336" t="s">
        <v>401</v>
      </c>
      <c r="C59" s="395">
        <v>6000</v>
      </c>
      <c r="D59" s="338"/>
      <c r="E59" s="338" t="s">
        <v>281</v>
      </c>
      <c r="F59" s="339">
        <v>3000</v>
      </c>
      <c r="G59" s="339">
        <v>1</v>
      </c>
      <c r="H59" s="339">
        <f>43/100</f>
        <v>0.43</v>
      </c>
      <c r="I59" s="339">
        <f>0.5/100</f>
        <v>5.0000000000000001E-3</v>
      </c>
      <c r="J59" s="339">
        <f>0.2/100</f>
        <v>2E-3</v>
      </c>
      <c r="K59" s="339">
        <f>9.9/100</f>
        <v>9.9000000000000005E-2</v>
      </c>
      <c r="L59" s="549">
        <f>IF($A59="","",COUNTIF(LUNES!$B:$B,$A59)+COUNTIF(MARTES!$B:$B,$A59)+COUNTIF(MIERCOLES!$B:$B,$A59)+COUNTIF(JUEVES!$B:$B,$A59)+COUNTIF(VIERNES!$B:$B,$A59)+COUNTIF(SABADO!$B:$B,$A59)+COUNTIF(DOMINGO!$B:$B,$A59))</f>
        <v>0</v>
      </c>
      <c r="M59" s="96" t="str">
        <f>IF($A59="V000415",VLOOKUP($A59,BOLETIN!B:F,5,0),IFERROR(IFERROR(VLOOKUP($A59,CONSOLIDADO!$A:$D,4,0),VLOOKUP($A59,BOLETIN!$B:$F,5,0)),""))</f>
        <v/>
      </c>
    </row>
    <row r="60" spans="1:14" x14ac:dyDescent="0.2">
      <c r="A60" s="95" t="str">
        <f>IF($B60="","",VLOOKUP(TRIM($B60),NSN!$A:$B,2,FALSE))</f>
        <v>C902638</v>
      </c>
      <c r="B60" s="336" t="s">
        <v>404</v>
      </c>
      <c r="C60" s="543">
        <v>2075</v>
      </c>
      <c r="D60" s="338" t="s">
        <v>9</v>
      </c>
      <c r="E60" s="338" t="s">
        <v>168</v>
      </c>
      <c r="F60" s="339">
        <v>1000</v>
      </c>
      <c r="G60" s="339">
        <v>1</v>
      </c>
      <c r="H60" s="339">
        <f>0/100</f>
        <v>0</v>
      </c>
      <c r="I60" s="339">
        <f>0/100</f>
        <v>0</v>
      </c>
      <c r="J60" s="339">
        <f>0/100</f>
        <v>0</v>
      </c>
      <c r="K60" s="339">
        <f>0/100</f>
        <v>0</v>
      </c>
      <c r="L60" s="549">
        <f>IF($A60="","",COUNTIF(LUNES!$B:$B,$A60)+COUNTIF(MARTES!$B:$B,$A60)+COUNTIF(MIERCOLES!$B:$B,$A60)+COUNTIF(JUEVES!$B:$B,$A60)+COUNTIF(VIERNES!$B:$B,$A60)+COUNTIF(SABADO!$B:$B,$A60)+COUNTIF(DOMINGO!$B:$B,$A60))</f>
        <v>0</v>
      </c>
      <c r="M60" s="96">
        <f>IF($A60="V000415",VLOOKUP($A60,BOLETIN!B:F,5,0),IFERROR(IFERROR(VLOOKUP($A60,CONSOLIDADO!$A:$D,4,0),VLOOKUP($A60,BOLETIN!$B:$F,5,0)),""))</f>
        <v>2075</v>
      </c>
    </row>
    <row r="61" spans="1:14" x14ac:dyDescent="0.2">
      <c r="A61" s="95" t="str">
        <f>IF($B61="","",VLOOKUP(TRIM($B61),NSN!$A:$B,2,FALSE))</f>
        <v>V000479</v>
      </c>
      <c r="B61" s="336" t="s">
        <v>217</v>
      </c>
      <c r="C61" s="544">
        <v>7140</v>
      </c>
      <c r="D61" s="338"/>
      <c r="E61" s="338" t="s">
        <v>243</v>
      </c>
      <c r="F61" s="339">
        <v>8</v>
      </c>
      <c r="G61" s="339">
        <v>1</v>
      </c>
      <c r="H61" s="339">
        <f>82/100</f>
        <v>0.82</v>
      </c>
      <c r="I61" s="339">
        <f>1.1/100</f>
        <v>1.1000000000000001E-2</v>
      </c>
      <c r="J61" s="339">
        <f>3.9/100</f>
        <v>3.9E-2</v>
      </c>
      <c r="K61" s="339">
        <f>10.7/100</f>
        <v>0.107</v>
      </c>
      <c r="L61" s="549">
        <f>IF($A61="","",COUNTIF(LUNES!$B:$B,$A61)+COUNTIF(MARTES!$B:$B,$A61)+COUNTIF(MIERCOLES!$B:$B,$A61)+COUNTIF(JUEVES!$B:$B,$A61)+COUNTIF(VIERNES!$B:$B,$A61)+COUNTIF(SABADO!$B:$B,$A61)+COUNTIF(DOMINGO!$B:$B,$A61))</f>
        <v>0</v>
      </c>
      <c r="M61" s="96">
        <f>IF($A61="V000415",VLOOKUP($A61,BOLETIN!B:F,5,0),IFERROR(IFERROR(VLOOKUP($A61,CONSOLIDADO!$A:$D,4,0),VLOOKUP($A61,BOLETIN!$B:$F,5,0)),""))</f>
        <v>7140</v>
      </c>
    </row>
    <row r="62" spans="1:14" x14ac:dyDescent="0.2">
      <c r="A62" s="95" t="str">
        <f>IF($B62="","",VLOOKUP(TRIM($B62),NSN!$A:$B,2,FALSE))</f>
        <v>V000123</v>
      </c>
      <c r="B62" s="336" t="s">
        <v>537</v>
      </c>
      <c r="C62" s="544">
        <v>1423</v>
      </c>
      <c r="D62" s="338"/>
      <c r="E62" s="338" t="s">
        <v>202</v>
      </c>
      <c r="F62" s="339">
        <v>1000</v>
      </c>
      <c r="G62" s="339">
        <v>0.91400000000000003</v>
      </c>
      <c r="H62" s="339">
        <f>36/100</f>
        <v>0.36</v>
      </c>
      <c r="I62" s="339">
        <f>1.8/100</f>
        <v>1.8000000000000002E-2</v>
      </c>
      <c r="J62" s="339">
        <f>0.8/100</f>
        <v>8.0000000000000002E-3</v>
      </c>
      <c r="K62" s="339">
        <f>5.3/100</f>
        <v>5.2999999999999999E-2</v>
      </c>
      <c r="L62" s="549">
        <f>IF($A62="","",COUNTIF(LUNES!$B:$B,$A62)+COUNTIF(MARTES!$B:$B,$A62)+COUNTIF(MIERCOLES!$B:$B,$A62)+COUNTIF(JUEVES!$B:$B,$A62)+COUNTIF(VIERNES!$B:$B,$A62)+COUNTIF(SABADO!$B:$B,$A62)+COUNTIF(DOMINGO!$B:$B,$A62))</f>
        <v>0</v>
      </c>
      <c r="M62" s="96">
        <f>IF($A62="V000415",VLOOKUP($A62,BOLETIN!B:F,5,0),IFERROR(IFERROR(VLOOKUP($A62,CONSOLIDADO!$A:$D,4,0),VLOOKUP($A62,BOLETIN!$B:$F,5,0)),""))</f>
        <v>1423</v>
      </c>
    </row>
    <row r="63" spans="1:14" x14ac:dyDescent="0.2">
      <c r="A63" s="95" t="str">
        <f>IF($B63="","",VLOOKUP(TRIM($B63),NSN!$A:$B,2,FALSE))</f>
        <v>V000506</v>
      </c>
      <c r="B63" s="336" t="s">
        <v>226</v>
      </c>
      <c r="C63" s="544">
        <v>476</v>
      </c>
      <c r="D63" s="338"/>
      <c r="E63" s="338" t="s">
        <v>228</v>
      </c>
      <c r="F63" s="339">
        <v>5</v>
      </c>
      <c r="G63" s="339">
        <v>1</v>
      </c>
      <c r="H63" s="339">
        <f>295/100</f>
        <v>2.95</v>
      </c>
      <c r="I63" s="339">
        <f>22.77/100</f>
        <v>0.22769999999999999</v>
      </c>
      <c r="J63" s="339">
        <f>7.24/100</f>
        <v>7.2400000000000006E-2</v>
      </c>
      <c r="K63" s="339">
        <f>50.22/100</f>
        <v>0.50219999999999998</v>
      </c>
      <c r="L63" s="549">
        <f>IF($A63="","",COUNTIF(LUNES!$B:$B,$A63)+COUNTIF(MARTES!$B:$B,$A63)+COUNTIF(MIERCOLES!$B:$B,$A63)+COUNTIF(JUEVES!$B:$B,$A63)+COUNTIF(VIERNES!$B:$B,$A63)+COUNTIF(SABADO!$B:$B,$A63)+COUNTIF(DOMINGO!$B:$B,$A63))</f>
        <v>0</v>
      </c>
      <c r="M63" s="96">
        <f>IF($A63="V000415",VLOOKUP($A63,BOLETIN!B:F,5,0),IFERROR(IFERROR(VLOOKUP($A63,CONSOLIDADO!$A:$D,4,0),VLOOKUP($A63,BOLETIN!$B:$F,5,0)),""))</f>
        <v>476</v>
      </c>
    </row>
    <row r="64" spans="1:14" x14ac:dyDescent="0.2">
      <c r="A64" s="95" t="str">
        <f>IF($B64="","",VLOOKUP(TRIM($B64),NSN!$A:$B,2,FALSE))</f>
        <v>C000359</v>
      </c>
      <c r="B64" s="336" t="s">
        <v>405</v>
      </c>
      <c r="C64" s="377" t="s">
        <v>1958</v>
      </c>
      <c r="D64" s="338" t="s">
        <v>32</v>
      </c>
      <c r="E64" s="338" t="s">
        <v>15</v>
      </c>
      <c r="F64" s="339">
        <v>1000</v>
      </c>
      <c r="G64" s="339">
        <v>1</v>
      </c>
      <c r="H64" s="339">
        <f>352/100</f>
        <v>3.52</v>
      </c>
      <c r="I64" s="339">
        <f>11.1/100</f>
        <v>0.111</v>
      </c>
      <c r="J64" s="339">
        <f>0.4/100</f>
        <v>4.0000000000000001E-3</v>
      </c>
      <c r="K64" s="339">
        <f>76.6/100</f>
        <v>0.7659999999999999</v>
      </c>
      <c r="L64" s="549">
        <f>IF($A64="","",COUNTIF(LUNES!$B:$B,$A64)+COUNTIF(MARTES!$B:$B,$A64)+COUNTIF(MIERCOLES!$B:$B,$A64)+COUNTIF(JUEVES!$B:$B,$A64)+COUNTIF(VIERNES!$B:$B,$A64)+COUNTIF(SABADO!$B:$B,$A64)+COUNTIF(DOMINGO!$B:$B,$A64))</f>
        <v>0</v>
      </c>
      <c r="M64" s="96" t="str">
        <f>IF($A64="V000415",VLOOKUP($A64,BOLETIN!B:F,5,0),IFERROR(IFERROR(VLOOKUP($A64,CONSOLIDADO!$A:$D,4,0),VLOOKUP($A64,BOLETIN!$B:$F,5,0)),""))</f>
        <v/>
      </c>
    </row>
    <row r="65" spans="1:14" x14ac:dyDescent="0.2">
      <c r="A65" s="95" t="str">
        <f>IF($B65="","",VLOOKUP(TRIM($B65),NSN!$A:$B,2,FALSE))</f>
        <v>V001132</v>
      </c>
      <c r="B65" s="336" t="s">
        <v>737</v>
      </c>
      <c r="C65" s="381">
        <v>741</v>
      </c>
      <c r="D65" s="338" t="s">
        <v>32</v>
      </c>
      <c r="E65" s="338" t="s">
        <v>922</v>
      </c>
      <c r="F65" s="339">
        <v>400</v>
      </c>
      <c r="G65" s="339">
        <v>1</v>
      </c>
      <c r="H65" s="339">
        <f>352/100</f>
        <v>3.52</v>
      </c>
      <c r="I65" s="339">
        <f>11.1/100</f>
        <v>0.111</v>
      </c>
      <c r="J65" s="339">
        <f>0.4/100</f>
        <v>4.0000000000000001E-3</v>
      </c>
      <c r="K65" s="339">
        <f>76.6/100</f>
        <v>0.7659999999999999</v>
      </c>
      <c r="L65" s="549">
        <f>IF($A65="","",COUNTIF(LUNES!$B:$B,$A65)+COUNTIF(MARTES!$B:$B,$A65)+COUNTIF(MIERCOLES!$B:$B,$A65)+COUNTIF(JUEVES!$B:$B,$A65)+COUNTIF(VIERNES!$B:$B,$A65)+COUNTIF(SABADO!$B:$B,$A65)+COUNTIF(DOMINGO!$B:$B,$A65))</f>
        <v>0</v>
      </c>
      <c r="M65" s="96" t="str">
        <f>IF($A65="V000415",VLOOKUP($A65,BOLETIN!B:F,5,0),IFERROR(IFERROR(VLOOKUP($A65,CONSOLIDADO!$A:$D,4,0),VLOOKUP($A65,BOLETIN!$B:$F,5,0)),""))</f>
        <v/>
      </c>
    </row>
    <row r="66" spans="1:14" x14ac:dyDescent="0.2">
      <c r="A66" s="95" t="str">
        <f>IF($B66="","",VLOOKUP(TRIM($B66),NSN!$A:$B,2,FALSE))</f>
        <v>C006637</v>
      </c>
      <c r="B66" s="336" t="s">
        <v>40</v>
      </c>
      <c r="C66" s="543">
        <v>1383</v>
      </c>
      <c r="D66" s="338"/>
      <c r="E66" s="338" t="s">
        <v>15</v>
      </c>
      <c r="F66" s="339">
        <v>1000</v>
      </c>
      <c r="G66" s="339">
        <v>1</v>
      </c>
      <c r="H66" s="339">
        <f>352/100</f>
        <v>3.52</v>
      </c>
      <c r="I66" s="339">
        <f>11.1/100</f>
        <v>0.111</v>
      </c>
      <c r="J66" s="339">
        <f>0.4/100</f>
        <v>4.0000000000000001E-3</v>
      </c>
      <c r="K66" s="339">
        <f>76.6/100</f>
        <v>0.7659999999999999</v>
      </c>
      <c r="L66" s="549">
        <f>IF($A66="","",COUNTIF(LUNES!$B:$B,$A66)+COUNTIF(MARTES!$B:$B,$A66)+COUNTIF(MIERCOLES!$B:$B,$A66)+COUNTIF(JUEVES!$B:$B,$A66)+COUNTIF(VIERNES!$B:$B,$A66)+COUNTIF(SABADO!$B:$B,$A66)+COUNTIF(DOMINGO!$B:$B,$A66))</f>
        <v>1</v>
      </c>
      <c r="M66" s="96">
        <f>IF($A66="V000415",VLOOKUP($A66,BOLETIN!B:F,5,0),IFERROR(IFERROR(VLOOKUP($A66,CONSOLIDADO!$A:$D,4,0),VLOOKUP($A66,BOLETIN!$B:$F,5,0)),""))</f>
        <v>1383</v>
      </c>
    </row>
    <row r="67" spans="1:14" x14ac:dyDescent="0.2">
      <c r="A67" s="95" t="str">
        <f>IF($B67="","",VLOOKUP(TRIM($B67),NSN!$A:$B,2,FALSE))</f>
        <v>C000342</v>
      </c>
      <c r="B67" s="336" t="s">
        <v>34</v>
      </c>
      <c r="C67" s="543">
        <v>1444</v>
      </c>
      <c r="D67" s="338"/>
      <c r="E67" s="338" t="s">
        <v>15</v>
      </c>
      <c r="F67" s="339">
        <v>1000</v>
      </c>
      <c r="G67" s="339">
        <v>1</v>
      </c>
      <c r="H67" s="339">
        <f>352/100</f>
        <v>3.52</v>
      </c>
      <c r="I67" s="339">
        <f>11.1/100</f>
        <v>0.111</v>
      </c>
      <c r="J67" s="339">
        <f>0.4/100</f>
        <v>4.0000000000000001E-3</v>
      </c>
      <c r="K67" s="339">
        <f>76.6/100</f>
        <v>0.7659999999999999</v>
      </c>
      <c r="L67" s="549">
        <f>IF($A67="","",COUNTIF(LUNES!$B:$B,$A67)+COUNTIF(MARTES!$B:$B,$A67)+COUNTIF(MIERCOLES!$B:$B,$A67)+COUNTIF(JUEVES!$B:$B,$A67)+COUNTIF(VIERNES!$B:$B,$A67)+COUNTIF(SABADO!$B:$B,$A67)+COUNTIF(DOMINGO!$B:$B,$A67))</f>
        <v>1</v>
      </c>
      <c r="M67" s="96">
        <f>IF($A67="V000415",VLOOKUP($A67,BOLETIN!B:F,5,0),IFERROR(IFERROR(VLOOKUP($A67,CONSOLIDADO!$A:$D,4,0),VLOOKUP($A67,BOLETIN!$B:$F,5,0)),""))</f>
        <v>1444</v>
      </c>
    </row>
    <row r="68" spans="1:14" x14ac:dyDescent="0.2">
      <c r="A68" s="95" t="str">
        <f>IF($B68="","",VLOOKUP(TRIM($B68),NSN!$A:$B,2,FALSE))</f>
        <v>C000361</v>
      </c>
      <c r="B68" s="336" t="s">
        <v>35</v>
      </c>
      <c r="C68" s="543">
        <v>1495</v>
      </c>
      <c r="D68" s="338"/>
      <c r="E68" s="338" t="s">
        <v>15</v>
      </c>
      <c r="F68" s="339">
        <v>1000</v>
      </c>
      <c r="G68" s="339">
        <v>1</v>
      </c>
      <c r="H68" s="339">
        <f>352/100</f>
        <v>3.52</v>
      </c>
      <c r="I68" s="339">
        <f>11.1/100</f>
        <v>0.111</v>
      </c>
      <c r="J68" s="339">
        <f>0.4/100</f>
        <v>4.0000000000000001E-3</v>
      </c>
      <c r="K68" s="339">
        <f>76.6/100</f>
        <v>0.7659999999999999</v>
      </c>
      <c r="L68" s="549">
        <f>IF($A68="","",COUNTIF(LUNES!$B:$B,$A68)+COUNTIF(MARTES!$B:$B,$A68)+COUNTIF(MIERCOLES!$B:$B,$A68)+COUNTIF(JUEVES!$B:$B,$A68)+COUNTIF(VIERNES!$B:$B,$A68)+COUNTIF(SABADO!$B:$B,$A68)+COUNTIF(DOMINGO!$B:$B,$A68))</f>
        <v>1</v>
      </c>
      <c r="M68" s="96">
        <f>IF($A68="V000415",VLOOKUP($A68,BOLETIN!B:F,5,0),IFERROR(IFERROR(VLOOKUP($A68,CONSOLIDADO!$A:$D,4,0),VLOOKUP($A68,BOLETIN!$B:$F,5,0)),""))</f>
        <v>1495</v>
      </c>
    </row>
    <row r="69" spans="1:14" x14ac:dyDescent="0.2">
      <c r="A69" s="95" t="str">
        <f>IF($B69="","",VLOOKUP(TRIM($B69),NSN!$A:$B,2,FALSE))</f>
        <v xml:space="preserve">  C903499</v>
      </c>
      <c r="B69" s="336" t="s">
        <v>2206</v>
      </c>
      <c r="C69" s="403">
        <v>1750</v>
      </c>
      <c r="D69" s="338"/>
      <c r="E69" s="338" t="s">
        <v>15</v>
      </c>
      <c r="F69" s="339">
        <v>1000</v>
      </c>
      <c r="G69" s="339">
        <v>1</v>
      </c>
      <c r="H69" s="339">
        <f>347/100</f>
        <v>3.47</v>
      </c>
      <c r="I69" s="339">
        <f>13.3/100</f>
        <v>0.13300000000000001</v>
      </c>
      <c r="J69" s="339">
        <f>0.5/100</f>
        <v>5.0000000000000001E-3</v>
      </c>
      <c r="K69" s="339">
        <f>72.3/100</f>
        <v>0.72299999999999998</v>
      </c>
      <c r="L69" s="549">
        <f>IF($A69="","",COUNTIF(LUNES!$B:$B,$A69)+COUNTIF(MARTES!$B:$B,$A69)+COUNTIF(MIERCOLES!$B:$B,$A69)+COUNTIF(JUEVES!$B:$B,$A69)+COUNTIF(VIERNES!$B:$B,$A69)+COUNTIF(SABADO!$B:$B,$A69)+COUNTIF(DOMINGO!$B:$B,$A69))</f>
        <v>1</v>
      </c>
      <c r="M69" s="96" t="str">
        <f>IF($A69="V000415",VLOOKUP($A69,BOLETIN!B:F,5,0),IFERROR(IFERROR(VLOOKUP($A69,CONSOLIDADO!$A:$D,4,0),VLOOKUP($A69,BOLETIN!$B:$F,5,0)),""))</f>
        <v/>
      </c>
    </row>
    <row r="70" spans="1:14" x14ac:dyDescent="0.2">
      <c r="A70" s="95" t="str">
        <f>IF($B70="","",VLOOKUP(TRIM($B70),NSN!$A:$B,2,FALSE))</f>
        <v>C902850</v>
      </c>
      <c r="B70" s="336" t="s">
        <v>406</v>
      </c>
      <c r="C70" s="377" t="s">
        <v>1958</v>
      </c>
      <c r="D70" s="338"/>
      <c r="E70" s="338" t="s">
        <v>15</v>
      </c>
      <c r="F70" s="339">
        <v>1000</v>
      </c>
      <c r="G70" s="339">
        <v>1</v>
      </c>
      <c r="H70" s="339">
        <f>374/100</f>
        <v>3.74</v>
      </c>
      <c r="I70" s="339">
        <f>2.5/100</f>
        <v>2.5000000000000001E-2</v>
      </c>
      <c r="J70" s="339">
        <f>2.2/100</f>
        <v>2.2000000000000002E-2</v>
      </c>
      <c r="K70" s="339">
        <f>86/100</f>
        <v>0.86</v>
      </c>
      <c r="L70" s="549">
        <f>IF($A70="","",COUNTIF(LUNES!$B:$B,$A70)+COUNTIF(MARTES!$B:$B,$A70)+COUNTIF(MIERCOLES!$B:$B,$A70)+COUNTIF(JUEVES!$B:$B,$A70)+COUNTIF(VIERNES!$B:$B,$A70)+COUNTIF(SABADO!$B:$B,$A70)+COUNTIF(DOMINGO!$B:$B,$A70))</f>
        <v>0</v>
      </c>
      <c r="M70" s="96" t="str">
        <f>IF($A70="V000415",VLOOKUP($A70,BOLETIN!B:F,5,0),IFERROR(IFERROR(VLOOKUP($A70,CONSOLIDADO!$A:$D,4,0),VLOOKUP($A70,BOLETIN!$B:$F,5,0)),""))</f>
        <v/>
      </c>
    </row>
    <row r="71" spans="1:14" x14ac:dyDescent="0.2">
      <c r="A71" s="95" t="str">
        <f>IF($B71="","",VLOOKUP(TRIM($B71),NSN!$A:$B,2,FALSE))</f>
        <v>C902851</v>
      </c>
      <c r="B71" s="336" t="s">
        <v>309</v>
      </c>
      <c r="C71" s="543">
        <v>2418</v>
      </c>
      <c r="D71" s="338"/>
      <c r="E71" s="338" t="s">
        <v>15</v>
      </c>
      <c r="F71" s="339">
        <v>1000</v>
      </c>
      <c r="G71" s="339">
        <v>1</v>
      </c>
      <c r="H71" s="339">
        <f>374/100</f>
        <v>3.74</v>
      </c>
      <c r="I71" s="339">
        <f>2.5/100</f>
        <v>2.5000000000000001E-2</v>
      </c>
      <c r="J71" s="339">
        <f>2.2/100</f>
        <v>2.2000000000000002E-2</v>
      </c>
      <c r="K71" s="339">
        <f>86/100</f>
        <v>0.86</v>
      </c>
      <c r="L71" s="549">
        <f>IF($A71="","",COUNTIF(LUNES!$B:$B,$A71)+COUNTIF(MARTES!$B:$B,$A71)+COUNTIF(MIERCOLES!$B:$B,$A71)+COUNTIF(JUEVES!$B:$B,$A71)+COUNTIF(VIERNES!$B:$B,$A71)+COUNTIF(SABADO!$B:$B,$A71)+COUNTIF(DOMINGO!$B:$B,$A71))</f>
        <v>3</v>
      </c>
      <c r="M71" s="96">
        <f>IF($A71="V000415",VLOOKUP($A71,BOLETIN!B:F,5,0),IFERROR(IFERROR(VLOOKUP($A71,CONSOLIDADO!$A:$D,4,0),VLOOKUP($A71,BOLETIN!$B:$F,5,0)),""))</f>
        <v>2418</v>
      </c>
    </row>
    <row r="72" spans="1:14" x14ac:dyDescent="0.2">
      <c r="A72" s="95" t="str">
        <f>IF($B72="","",VLOOKUP(TRIM($B72),NSN!$A:$B,2,FALSE))</f>
        <v>C903238</v>
      </c>
      <c r="B72" s="336" t="s">
        <v>408</v>
      </c>
      <c r="C72" s="377" t="s">
        <v>1958</v>
      </c>
      <c r="D72" s="338"/>
      <c r="E72" s="338" t="s">
        <v>281</v>
      </c>
      <c r="F72" s="339">
        <v>3000</v>
      </c>
      <c r="G72" s="339">
        <v>1</v>
      </c>
      <c r="H72" s="339">
        <f>57/100</f>
        <v>0.56999999999999995</v>
      </c>
      <c r="I72" s="339">
        <f>1.5/100</f>
        <v>1.4999999999999999E-2</v>
      </c>
      <c r="J72" s="339">
        <f>0.4/100</f>
        <v>4.0000000000000001E-3</v>
      </c>
      <c r="K72" s="339">
        <f>11.9/100</f>
        <v>0.11900000000000001</v>
      </c>
      <c r="L72" s="549">
        <f>IF($A72="","",COUNTIF(LUNES!$B:$B,$A72)+COUNTIF(MARTES!$B:$B,$A72)+COUNTIF(MIERCOLES!$B:$B,$A72)+COUNTIF(JUEVES!$B:$B,$A72)+COUNTIF(VIERNES!$B:$B,$A72)+COUNTIF(SABADO!$B:$B,$A72)+COUNTIF(DOMINGO!$B:$B,$A72))</f>
        <v>0</v>
      </c>
      <c r="M72" s="96" t="str">
        <f>IF($A72="V000415",VLOOKUP($A72,BOLETIN!B:F,5,0),IFERROR(IFERROR(VLOOKUP($A72,CONSOLIDADO!$A:$D,4,0),VLOOKUP($A72,BOLETIN!$B:$F,5,0)),""))</f>
        <v/>
      </c>
    </row>
    <row r="73" spans="1:14" x14ac:dyDescent="0.2">
      <c r="A73" s="95" t="str">
        <f>IF($B73="","",VLOOKUP(TRIM($B73),NSN!$A:$B,2,FALSE))</f>
        <v>C902849</v>
      </c>
      <c r="B73" s="336" t="s">
        <v>316</v>
      </c>
      <c r="C73" s="543">
        <v>2655</v>
      </c>
      <c r="D73" s="338"/>
      <c r="E73" s="338" t="s">
        <v>15</v>
      </c>
      <c r="F73" s="339">
        <v>1000</v>
      </c>
      <c r="G73" s="339">
        <v>1</v>
      </c>
      <c r="H73" s="339">
        <f>374/100</f>
        <v>3.74</v>
      </c>
      <c r="I73" s="339">
        <f>2.5/100</f>
        <v>2.5000000000000001E-2</v>
      </c>
      <c r="J73" s="339">
        <f>2.2/100</f>
        <v>2.2000000000000002E-2</v>
      </c>
      <c r="K73" s="339">
        <f>86/100</f>
        <v>0.86</v>
      </c>
      <c r="L73" s="549">
        <f>IF($A73="","",COUNTIF(LUNES!$B:$B,$A73)+COUNTIF(MARTES!$B:$B,$A73)+COUNTIF(MIERCOLES!$B:$B,$A73)+COUNTIF(JUEVES!$B:$B,$A73)+COUNTIF(VIERNES!$B:$B,$A73)+COUNTIF(SABADO!$B:$B,$A73)+COUNTIF(DOMINGO!$B:$B,$A73))</f>
        <v>2</v>
      </c>
      <c r="M73" s="96">
        <f>IF($A73="V000415",VLOOKUP($A73,BOLETIN!B:F,5,0),IFERROR(IFERROR(VLOOKUP($A73,CONSOLIDADO!$A:$D,4,0),VLOOKUP($A73,BOLETIN!$B:$F,5,0)),""))</f>
        <v>2655</v>
      </c>
    </row>
    <row r="74" spans="1:14" x14ac:dyDescent="0.2">
      <c r="A74" s="95" t="str">
        <f>IF($B74="","",VLOOKUP(TRIM($B74),NSN!$A:$B,2,FALSE))</f>
        <v>C000196</v>
      </c>
      <c r="B74" s="336" t="s">
        <v>36</v>
      </c>
      <c r="C74" s="543">
        <v>2664</v>
      </c>
      <c r="D74" s="338"/>
      <c r="E74" s="338" t="s">
        <v>15</v>
      </c>
      <c r="F74" s="339">
        <v>1000</v>
      </c>
      <c r="G74" s="339">
        <v>1</v>
      </c>
      <c r="H74" s="339">
        <f>326/100</f>
        <v>3.26</v>
      </c>
      <c r="I74" s="339">
        <f>20.6/100</f>
        <v>0.20600000000000002</v>
      </c>
      <c r="J74" s="339">
        <f>1.6/100</f>
        <v>1.6E-2</v>
      </c>
      <c r="K74" s="339">
        <f>57.3/100</f>
        <v>0.57299999999999995</v>
      </c>
      <c r="L74" s="549">
        <f>IF($A74="","",COUNTIF(LUNES!$B:$B,$A74)+COUNTIF(MARTES!$B:$B,$A74)+COUNTIF(MIERCOLES!$B:$B,$A74)+COUNTIF(JUEVES!$B:$B,$A74)+COUNTIF(VIERNES!$B:$B,$A74)+COUNTIF(SABADO!$B:$B,$A74)+COUNTIF(DOMINGO!$B:$B,$A74))</f>
        <v>1</v>
      </c>
      <c r="M74" s="96">
        <f>IF($A74="V000415",VLOOKUP($A74,BOLETIN!B:F,5,0),IFERROR(IFERROR(VLOOKUP($A74,CONSOLIDADO!$A:$D,4,0),VLOOKUP($A74,BOLETIN!$B:$F,5,0)),""))</f>
        <v>2664</v>
      </c>
    </row>
    <row r="75" spans="1:14" x14ac:dyDescent="0.2">
      <c r="A75" s="95" t="str">
        <f>IF($B75="","",VLOOKUP(TRIM($B75),NSN!$A:$B,2,FALSE))</f>
        <v>V000132</v>
      </c>
      <c r="B75" s="336" t="s">
        <v>150</v>
      </c>
      <c r="C75" s="544">
        <v>3199</v>
      </c>
      <c r="D75" s="338"/>
      <c r="E75" s="338" t="s">
        <v>15</v>
      </c>
      <c r="F75" s="339">
        <v>1000</v>
      </c>
      <c r="G75" s="339">
        <v>0.91</v>
      </c>
      <c r="H75" s="339">
        <f>30/100</f>
        <v>0.3</v>
      </c>
      <c r="I75" s="339">
        <f>0.6/100</f>
        <v>6.0000000000000001E-3</v>
      </c>
      <c r="J75" s="339">
        <f>0.4/100</f>
        <v>4.0000000000000001E-3</v>
      </c>
      <c r="K75" s="339">
        <f>7.1/100</f>
        <v>7.0999999999999994E-2</v>
      </c>
      <c r="L75" s="549">
        <f>IF($A75="","",COUNTIF(LUNES!$B:$B,$A75)+COUNTIF(MARTES!$B:$B,$A75)+COUNTIF(MIERCOLES!$B:$B,$A75)+COUNTIF(JUEVES!$B:$B,$A75)+COUNTIF(VIERNES!$B:$B,$A75)+COUNTIF(SABADO!$B:$B,$A75)+COUNTIF(DOMINGO!$B:$B,$A75))</f>
        <v>0</v>
      </c>
      <c r="M75" s="96">
        <f>IF($A75="V000415",VLOOKUP($A75,BOLETIN!B:F,5,0),IFERROR(IFERROR(VLOOKUP($A75,CONSOLIDADO!$A:$D,4,0),VLOOKUP($A75,BOLETIN!$B:$F,5,0)),""))</f>
        <v>3199</v>
      </c>
    </row>
    <row r="76" spans="1:14" x14ac:dyDescent="0.2">
      <c r="A76" s="95" t="str">
        <f>IF($B76="","",VLOOKUP(TRIM($B76),NSN!$A:$B,2,FALSE))</f>
        <v>C902630</v>
      </c>
      <c r="B76" s="336" t="s">
        <v>104</v>
      </c>
      <c r="C76" s="543">
        <v>2035</v>
      </c>
      <c r="D76" s="338"/>
      <c r="E76" s="338" t="s">
        <v>15</v>
      </c>
      <c r="F76" s="339">
        <v>1000</v>
      </c>
      <c r="G76" s="339">
        <v>1</v>
      </c>
      <c r="H76" s="339">
        <f>366/100</f>
        <v>3.66</v>
      </c>
      <c r="I76" s="339">
        <f>17.9/100</f>
        <v>0.17899999999999999</v>
      </c>
      <c r="J76" s="339">
        <f>4.3/100</f>
        <v>4.2999999999999997E-2</v>
      </c>
      <c r="K76" s="339">
        <f>63.8/100</f>
        <v>0.63800000000000001</v>
      </c>
      <c r="L76" s="549">
        <f>IF($A76="","",COUNTIF(LUNES!$B:$B,$A76)+COUNTIF(MARTES!$B:$B,$A76)+COUNTIF(MIERCOLES!$B:$B,$A76)+COUNTIF(JUEVES!$B:$B,$A76)+COUNTIF(VIERNES!$B:$B,$A76)+COUNTIF(SABADO!$B:$B,$A76)+COUNTIF(DOMINGO!$B:$B,$A76))</f>
        <v>0</v>
      </c>
      <c r="M76" s="96">
        <f>IF($A76="V000415",VLOOKUP($A76,BOLETIN!B:F,5,0),IFERROR(IFERROR(VLOOKUP($A76,CONSOLIDADO!$A:$D,4,0),VLOOKUP($A76,BOLETIN!$B:$F,5,0)),""))</f>
        <v>2035</v>
      </c>
    </row>
    <row r="77" spans="1:14" x14ac:dyDescent="0.2">
      <c r="A77" s="95" t="str">
        <f>IF($B77="","",VLOOKUP(TRIM($B77),NSN!$A:$B,2,FALSE))</f>
        <v>C903241</v>
      </c>
      <c r="B77" s="336" t="s">
        <v>2046</v>
      </c>
      <c r="C77" s="543">
        <v>2410</v>
      </c>
      <c r="D77" s="338"/>
      <c r="E77" s="338" t="s">
        <v>2047</v>
      </c>
      <c r="F77" s="339">
        <v>320</v>
      </c>
      <c r="G77" s="339">
        <v>1</v>
      </c>
      <c r="H77" s="339">
        <f>426/100</f>
        <v>4.26</v>
      </c>
      <c r="I77" s="339">
        <f>11.1/100</f>
        <v>0.111</v>
      </c>
      <c r="J77" s="339">
        <f>15.6/100</f>
        <v>0.156</v>
      </c>
      <c r="K77" s="339">
        <f>60.3/100</f>
        <v>0.60299999999999998</v>
      </c>
      <c r="L77" s="549">
        <f>IF($A77="","",COUNTIF(LUNES!$B:$B,$A77)+COUNTIF(MARTES!$B:$B,$A77)+COUNTIF(MIERCOLES!$B:$B,$A77)+COUNTIF(JUEVES!$B:$B,$A77)+COUNTIF(VIERNES!$B:$B,$A77)+COUNTIF(SABADO!$B:$B,$A77)+COUNTIF(DOMINGO!$B:$B,$A77))</f>
        <v>1</v>
      </c>
      <c r="M77" s="96">
        <f>IF($A77="V000415",VLOOKUP($A77,BOLETIN!B:F,5,0),IFERROR(IFERROR(VLOOKUP($A77,CONSOLIDADO!$A:$D,4,0),VLOOKUP($A77,BOLETIN!$B:$F,5,0)),""))</f>
        <v>2410</v>
      </c>
      <c r="N77" s="335" t="s">
        <v>319</v>
      </c>
    </row>
    <row r="78" spans="1:14" x14ac:dyDescent="0.2">
      <c r="A78" s="95" t="str">
        <f>IF($B78="","",VLOOKUP(TRIM($B78),NSN!$A:$B,2,FALSE))</f>
        <v>C902739</v>
      </c>
      <c r="B78" s="336" t="s">
        <v>183</v>
      </c>
      <c r="C78" s="377" t="s">
        <v>1958</v>
      </c>
      <c r="D78" s="338"/>
      <c r="E78" s="338" t="s">
        <v>15</v>
      </c>
      <c r="F78" s="339">
        <v>1000</v>
      </c>
      <c r="G78" s="339">
        <v>1</v>
      </c>
      <c r="H78" s="339">
        <f>309/100</f>
        <v>3.09</v>
      </c>
      <c r="I78" s="339">
        <f>24.7/100</f>
        <v>0.247</v>
      </c>
      <c r="J78" s="339">
        <f>1.5/100</f>
        <v>1.4999999999999999E-2</v>
      </c>
      <c r="K78" s="339">
        <f>49.1/100</f>
        <v>0.49099999999999999</v>
      </c>
      <c r="L78" s="549">
        <f>IF($A78="","",COUNTIF(LUNES!$B:$B,$A78)+COUNTIF(MARTES!$B:$B,$A78)+COUNTIF(MIERCOLES!$B:$B,$A78)+COUNTIF(JUEVES!$B:$B,$A78)+COUNTIF(VIERNES!$B:$B,$A78)+COUNTIF(SABADO!$B:$B,$A78)+COUNTIF(DOMINGO!$B:$B,$A78))</f>
        <v>0</v>
      </c>
      <c r="M78" s="96" t="str">
        <f>IF($A78="V000415",VLOOKUP($A78,BOLETIN!B:F,5,0),IFERROR(IFERROR(VLOOKUP($A78,CONSOLIDADO!$A:$D,4,0),VLOOKUP($A78,BOLETIN!$B:$F,5,0)),""))</f>
        <v/>
      </c>
    </row>
    <row r="79" spans="1:14" x14ac:dyDescent="0.2">
      <c r="A79" s="95" t="str">
        <f>IF($B79="","",VLOOKUP(TRIM($B79),NSN!$A:$B,2,FALSE))</f>
        <v>C000367</v>
      </c>
      <c r="B79" s="336" t="s">
        <v>410</v>
      </c>
      <c r="C79" s="543">
        <v>794</v>
      </c>
      <c r="D79" s="338"/>
      <c r="E79" s="338" t="s">
        <v>15</v>
      </c>
      <c r="F79" s="339">
        <v>1000</v>
      </c>
      <c r="G79" s="339">
        <v>1</v>
      </c>
      <c r="H79" s="339">
        <f>348/100</f>
        <v>3.48</v>
      </c>
      <c r="I79" s="339">
        <f>8/100</f>
        <v>0.08</v>
      </c>
      <c r="J79" s="339">
        <f>1.2/100</f>
        <v>1.2E-2</v>
      </c>
      <c r="K79" s="339">
        <f>76.4/100</f>
        <v>0.76400000000000001</v>
      </c>
      <c r="L79" s="549">
        <f>IF($A79="","",COUNTIF(LUNES!$B:$B,$A79)+COUNTIF(MARTES!$B:$B,$A79)+COUNTIF(MIERCOLES!$B:$B,$A79)+COUNTIF(JUEVES!$B:$B,$A79)+COUNTIF(VIERNES!$B:$B,$A79)+COUNTIF(SABADO!$B:$B,$A79)+COUNTIF(DOMINGO!$B:$B,$A79))</f>
        <v>9</v>
      </c>
      <c r="M79" s="96">
        <f>IF($A79="V000415",VLOOKUP($A79,BOLETIN!B:F,5,0),IFERROR(IFERROR(VLOOKUP($A79,CONSOLIDADO!$A:$D,4,0),VLOOKUP($A79,BOLETIN!$B:$F,5,0)),""))</f>
        <v>794</v>
      </c>
    </row>
    <row r="80" spans="1:14" x14ac:dyDescent="0.2">
      <c r="A80" s="95" t="str">
        <f>IF($B80="","",VLOOKUP(TRIM($B80),NSN!$A:$B,2,FALSE))</f>
        <v>V000147</v>
      </c>
      <c r="B80" s="336" t="s">
        <v>551</v>
      </c>
      <c r="C80" s="544">
        <v>5709</v>
      </c>
      <c r="D80" s="338"/>
      <c r="E80" s="338" t="s">
        <v>15</v>
      </c>
      <c r="F80" s="339">
        <v>1000</v>
      </c>
      <c r="G80" s="339">
        <v>1</v>
      </c>
      <c r="H80" s="339">
        <f>33/100</f>
        <v>0.33</v>
      </c>
      <c r="I80" s="339">
        <f>0.4/100</f>
        <v>4.0000000000000001E-3</v>
      </c>
      <c r="J80" s="339">
        <f>1.1/100</f>
        <v>1.1000000000000001E-2</v>
      </c>
      <c r="K80" s="339">
        <f>5.5/100</f>
        <v>5.5E-2</v>
      </c>
      <c r="L80" s="549">
        <f>IF($A80="","",COUNTIF(LUNES!$B:$B,$A80)+COUNTIF(MARTES!$B:$B,$A80)+COUNTIF(MIERCOLES!$B:$B,$A80)+COUNTIF(JUEVES!$B:$B,$A80)+COUNTIF(VIERNES!$B:$B,$A80)+COUNTIF(SABADO!$B:$B,$A80)+COUNTIF(DOMINGO!$B:$B,$A80))</f>
        <v>1</v>
      </c>
      <c r="M80" s="96">
        <f>IF($A80="V000415",VLOOKUP($A80,BOLETIN!B:F,5,0),IFERROR(IFERROR(VLOOKUP($A80,CONSOLIDADO!$A:$D,4,0),VLOOKUP($A80,BOLETIN!$B:$F,5,0)),""))</f>
        <v>5709</v>
      </c>
    </row>
    <row r="81" spans="1:14" x14ac:dyDescent="0.2">
      <c r="A81" s="95" t="str">
        <f>IF($B81="","",VLOOKUP(TRIM($B81),NSN!$A:$B,2,FALSE))</f>
        <v>V000148</v>
      </c>
      <c r="B81" s="336" t="s">
        <v>151</v>
      </c>
      <c r="C81" s="544">
        <v>253</v>
      </c>
      <c r="D81" s="338"/>
      <c r="E81" s="338" t="s">
        <v>109</v>
      </c>
      <c r="F81" s="339">
        <v>50</v>
      </c>
      <c r="G81" s="339">
        <v>1</v>
      </c>
      <c r="H81" s="339">
        <f>160/100</f>
        <v>1.6</v>
      </c>
      <c r="I81" s="339">
        <f>13.5/100</f>
        <v>0.13500000000000001</v>
      </c>
      <c r="J81" s="339">
        <f>10/100</f>
        <v>0.1</v>
      </c>
      <c r="K81" s="339">
        <f>4/1000</f>
        <v>4.0000000000000001E-3</v>
      </c>
      <c r="L81" s="549">
        <f>IF($A81="","",COUNTIF(LUNES!$B:$B,$A81)+COUNTIF(MARTES!$B:$B,$A81)+COUNTIF(MIERCOLES!$B:$B,$A81)+COUNTIF(JUEVES!$B:$B,$A81)+COUNTIF(VIERNES!$B:$B,$A81)+COUNTIF(SABADO!$B:$B,$A81)+COUNTIF(DOMINGO!$B:$B,$A81))</f>
        <v>5</v>
      </c>
      <c r="M81" s="96">
        <f>IF($A81="V000415",VLOOKUP($A81,BOLETIN!B:F,5,0),IFERROR(IFERROR(VLOOKUP($A81,CONSOLIDADO!$A:$D,4,0),VLOOKUP($A81,BOLETIN!$B:$F,5,0)),""))</f>
        <v>253</v>
      </c>
    </row>
    <row r="82" spans="1:14" x14ac:dyDescent="0.2">
      <c r="A82" s="95" t="str">
        <f>IF($B82="","",VLOOKUP(TRIM($B82),NSN!$A:$B,2,FALSE))</f>
        <v>V001045</v>
      </c>
      <c r="B82" s="336" t="s">
        <v>248</v>
      </c>
      <c r="C82" s="544">
        <v>10595</v>
      </c>
      <c r="D82" s="338"/>
      <c r="E82" s="338" t="s">
        <v>15</v>
      </c>
      <c r="F82" s="339">
        <v>1000</v>
      </c>
      <c r="G82" s="339">
        <v>1</v>
      </c>
      <c r="H82" s="339">
        <f>128/100</f>
        <v>1.28</v>
      </c>
      <c r="I82" s="339">
        <f>18.9/100</f>
        <v>0.18899999999999997</v>
      </c>
      <c r="J82" s="339">
        <f>5.1/100</f>
        <v>5.0999999999999997E-2</v>
      </c>
      <c r="K82" s="339">
        <f>0.4/100</f>
        <v>4.0000000000000001E-3</v>
      </c>
      <c r="L82" s="549">
        <f>IF($A82="","",COUNTIF(LUNES!$B:$B,$A82)+COUNTIF(MARTES!$B:$B,$A82)+COUNTIF(MIERCOLES!$B:$B,$A82)+COUNTIF(JUEVES!$B:$B,$A82)+COUNTIF(VIERNES!$B:$B,$A82)+COUNTIF(SABADO!$B:$B,$A82)+COUNTIF(DOMINGO!$B:$B,$A82))</f>
        <v>0</v>
      </c>
      <c r="M82" s="96">
        <f>IF($A82="V000415",VLOOKUP($A82,BOLETIN!B:F,5,0),IFERROR(IFERROR(VLOOKUP($A82,CONSOLIDADO!$A:$D,4,0),VLOOKUP($A82,BOLETIN!$B:$F,5,0)),""))</f>
        <v>10595</v>
      </c>
      <c r="N82" s="335" t="s">
        <v>169</v>
      </c>
    </row>
    <row r="83" spans="1:14" x14ac:dyDescent="0.2">
      <c r="A83" s="95" t="str">
        <f>IF($B83="","",VLOOKUP(TRIM($B83),NSN!$A:$B,2,FALSE))</f>
        <v>V000347</v>
      </c>
      <c r="B83" s="336" t="s">
        <v>152</v>
      </c>
      <c r="C83" s="544">
        <v>266</v>
      </c>
      <c r="D83" s="338"/>
      <c r="E83" s="338" t="s">
        <v>111</v>
      </c>
      <c r="F83" s="339">
        <v>1000</v>
      </c>
      <c r="G83" s="339">
        <v>1</v>
      </c>
      <c r="H83" s="339">
        <f>2/100</f>
        <v>0.02</v>
      </c>
      <c r="I83" s="339">
        <f>0/100</f>
        <v>0</v>
      </c>
      <c r="J83" s="339">
        <f>0/100</f>
        <v>0</v>
      </c>
      <c r="K83" s="339">
        <f>0.5/100</f>
        <v>5.0000000000000001E-3</v>
      </c>
      <c r="L83" s="549">
        <f>IF($A83="","",COUNTIF(LUNES!$B:$B,$A83)+COUNTIF(MARTES!$B:$B,$A83)+COUNTIF(MIERCOLES!$B:$B,$A83)+COUNTIF(JUEVES!$B:$B,$A83)+COUNTIF(VIERNES!$B:$B,$A83)+COUNTIF(SABADO!$B:$B,$A83)+COUNTIF(DOMINGO!$B:$B,$A83))</f>
        <v>0</v>
      </c>
      <c r="M83" s="96">
        <f>IF($A83="V000415",VLOOKUP($A83,BOLETIN!B:F,5,0),IFERROR(IFERROR(VLOOKUP($A83,CONSOLIDADO!$A:$D,4,0),VLOOKUP($A83,BOLETIN!$B:$F,5,0)),""))</f>
        <v>266</v>
      </c>
    </row>
    <row r="84" spans="1:14" x14ac:dyDescent="0.2">
      <c r="A84" s="95" t="str">
        <f>IF($B84="","",VLOOKUP(TRIM($B84),NSN!$A:$B,2,FALSE))</f>
        <v>V000160</v>
      </c>
      <c r="B84" s="336" t="s">
        <v>119</v>
      </c>
      <c r="C84" s="544">
        <v>1689</v>
      </c>
      <c r="D84" s="338" t="s">
        <v>54</v>
      </c>
      <c r="E84" s="97" t="s">
        <v>15</v>
      </c>
      <c r="F84" s="111">
        <v>1000</v>
      </c>
      <c r="G84" s="111">
        <v>0.83099999999999996</v>
      </c>
      <c r="H84" s="339">
        <f>75/100</f>
        <v>0.75</v>
      </c>
      <c r="I84" s="339">
        <f>0.9/100</f>
        <v>9.0000000000000011E-3</v>
      </c>
      <c r="J84" s="339">
        <f>0.6/100</f>
        <v>6.0000000000000001E-3</v>
      </c>
      <c r="K84" s="339">
        <f>16.4/100</f>
        <v>0.16399999999999998</v>
      </c>
      <c r="L84" s="549">
        <f>IF($A84="","",COUNTIF(LUNES!$B:$B,$A84)+COUNTIF(MARTES!$B:$B,$A84)+COUNTIF(MIERCOLES!$B:$B,$A84)+COUNTIF(JUEVES!$B:$B,$A84)+COUNTIF(VIERNES!$B:$B,$A84)+COUNTIF(SABADO!$B:$B,$A84)+COUNTIF(DOMINGO!$B:$B,$A84))</f>
        <v>0</v>
      </c>
      <c r="M84" s="96">
        <f>IF($A84="V000415",VLOOKUP($A84,BOLETIN!B:F,5,0),IFERROR(IFERROR(VLOOKUP($A84,CONSOLIDADO!$A:$D,4,0),VLOOKUP($A84,BOLETIN!$B:$F,5,0)),""))</f>
        <v>1689</v>
      </c>
    </row>
    <row r="85" spans="1:14" x14ac:dyDescent="0.2">
      <c r="A85" s="95" t="str">
        <f>IF($B85="","",VLOOKUP(TRIM($B85),NSN!$A:$B,2,FALSE))</f>
        <v>C902882</v>
      </c>
      <c r="B85" s="336" t="s">
        <v>411</v>
      </c>
      <c r="C85" s="377" t="s">
        <v>1958</v>
      </c>
      <c r="D85" s="338"/>
      <c r="E85" s="97" t="s">
        <v>304</v>
      </c>
      <c r="F85" s="111">
        <v>360</v>
      </c>
      <c r="G85" s="111">
        <v>1</v>
      </c>
      <c r="H85" s="339">
        <f>352/100</f>
        <v>3.52</v>
      </c>
      <c r="I85" s="339">
        <f>11.1/100</f>
        <v>0.111</v>
      </c>
      <c r="J85" s="339">
        <f>0.1/100</f>
        <v>1E-3</v>
      </c>
      <c r="K85" s="339">
        <f>76.1/100</f>
        <v>0.7609999999999999</v>
      </c>
      <c r="L85" s="549">
        <f>IF($A85="","",COUNTIF(LUNES!$B:$B,$A85)+COUNTIF(MARTES!$B:$B,$A85)+COUNTIF(MIERCOLES!$B:$B,$A85)+COUNTIF(JUEVES!$B:$B,$A85)+COUNTIF(VIERNES!$B:$B,$A85)+COUNTIF(SABADO!$B:$B,$A85)+COUNTIF(DOMINGO!$B:$B,$A85))</f>
        <v>0</v>
      </c>
      <c r="M85" s="96" t="str">
        <f>IF($A85="V000415",VLOOKUP($A85,BOLETIN!B:F,5,0),IFERROR(IFERROR(VLOOKUP($A85,CONSOLIDADO!$A:$D,4,0),VLOOKUP($A85,BOLETIN!$B:$F,5,0)),""))</f>
        <v/>
      </c>
    </row>
    <row r="86" spans="1:14" x14ac:dyDescent="0.2">
      <c r="A86" s="95" t="str">
        <f>IF($B86="","",VLOOKUP(TRIM($B86),NSN!$A:$B,2,FALSE))</f>
        <v>V000162</v>
      </c>
      <c r="B86" s="336" t="s">
        <v>241</v>
      </c>
      <c r="C86" s="544">
        <v>800</v>
      </c>
      <c r="D86" s="338"/>
      <c r="E86" s="97" t="s">
        <v>15</v>
      </c>
      <c r="F86" s="111">
        <v>1000</v>
      </c>
      <c r="G86" s="111">
        <v>1</v>
      </c>
      <c r="H86" s="339">
        <f>173/100</f>
        <v>1.73</v>
      </c>
      <c r="I86" s="339">
        <f>5.2/100</f>
        <v>5.2000000000000005E-2</v>
      </c>
      <c r="J86" s="339">
        <f>7/100</f>
        <v>7.0000000000000007E-2</v>
      </c>
      <c r="K86" s="339">
        <f>22.4/100</f>
        <v>0.22399999999999998</v>
      </c>
      <c r="L86" s="549">
        <f>IF($A86="","",COUNTIF(LUNES!$B:$B,$A86)+COUNTIF(MARTES!$B:$B,$A86)+COUNTIF(MIERCOLES!$B:$B,$A86)+COUNTIF(JUEVES!$B:$B,$A86)+COUNTIF(VIERNES!$B:$B,$A86)+COUNTIF(SABADO!$B:$B,$A86)+COUNTIF(DOMINGO!$B:$B,$A86))</f>
        <v>0</v>
      </c>
      <c r="M86" s="96">
        <f>IF($A86="V000415",VLOOKUP($A86,BOLETIN!B:F,5,0),IFERROR(IFERROR(VLOOKUP($A86,CONSOLIDADO!$A:$D,4,0),VLOOKUP($A86,BOLETIN!$B:$F,5,0)),""))</f>
        <v>800</v>
      </c>
    </row>
    <row r="87" spans="1:14" x14ac:dyDescent="0.2">
      <c r="A87" s="95" t="str">
        <f>IF($B87="","",VLOOKUP(TRIM($B87),NSN!$A:$B,2,FALSE))</f>
        <v>V000835</v>
      </c>
      <c r="B87" s="336" t="s">
        <v>649</v>
      </c>
      <c r="C87" s="344">
        <v>1507</v>
      </c>
      <c r="D87" s="338"/>
      <c r="E87" s="338" t="s">
        <v>283</v>
      </c>
      <c r="F87" s="339">
        <v>397</v>
      </c>
      <c r="G87" s="339">
        <v>1</v>
      </c>
      <c r="H87" s="339">
        <f>303/100</f>
        <v>3.03</v>
      </c>
      <c r="I87" s="339">
        <f>7.5/100</f>
        <v>7.4999999999999997E-2</v>
      </c>
      <c r="J87" s="339">
        <f>4.1/100</f>
        <v>4.0999999999999995E-2</v>
      </c>
      <c r="K87" s="339">
        <f>59/100</f>
        <v>0.59</v>
      </c>
      <c r="L87" s="549">
        <f>IF($A87="","",COUNTIF(LUNES!$B:$B,$A87)+COUNTIF(MARTES!$B:$B,$A87)+COUNTIF(MIERCOLES!$B:$B,$A87)+COUNTIF(JUEVES!$B:$B,$A87)+COUNTIF(VIERNES!$B:$B,$A87)+COUNTIF(SABADO!$B:$B,$A87)+COUNTIF(DOMINGO!$B:$B,$A87))</f>
        <v>0</v>
      </c>
      <c r="M87" s="96" t="str">
        <f>IF($A87="V000415",VLOOKUP($A87,BOLETIN!B:F,5,0),IFERROR(IFERROR(VLOOKUP($A87,CONSOLIDADO!$A:$D,4,0),VLOOKUP($A87,BOLETIN!$B:$F,5,0)),""))</f>
        <v/>
      </c>
    </row>
    <row r="88" spans="1:14" x14ac:dyDescent="0.2">
      <c r="A88" s="95" t="str">
        <f>IF($B88="","",VLOOKUP(TRIM($B88),NSN!$A:$B,2,FALSE))</f>
        <v>C902867</v>
      </c>
      <c r="B88" s="336" t="s">
        <v>888</v>
      </c>
      <c r="C88" s="378" t="s">
        <v>1958</v>
      </c>
      <c r="D88" s="338"/>
      <c r="E88" s="338" t="s">
        <v>221</v>
      </c>
      <c r="F88" s="339">
        <v>900</v>
      </c>
      <c r="G88" s="339">
        <v>1</v>
      </c>
      <c r="H88" s="339">
        <f>353/100</f>
        <v>3.53</v>
      </c>
      <c r="I88" s="339">
        <f>40.1/100</f>
        <v>0.40100000000000002</v>
      </c>
      <c r="J88" s="339">
        <f>0.1/100</f>
        <v>1E-3</v>
      </c>
      <c r="K88" s="339">
        <f>47.9/100</f>
        <v>0.47899999999999998</v>
      </c>
      <c r="L88" s="549">
        <f>IF($A88="","",COUNTIF(LUNES!$B:$B,$A88)+COUNTIF(MARTES!$B:$B,$A88)+COUNTIF(MIERCOLES!$B:$B,$A88)+COUNTIF(JUEVES!$B:$B,$A88)+COUNTIF(VIERNES!$B:$B,$A88)+COUNTIF(SABADO!$B:$B,$A88)+COUNTIF(DOMINGO!$B:$B,$A88))</f>
        <v>0</v>
      </c>
      <c r="M88" s="96" t="str">
        <f>IF($A88="V000415",VLOOKUP($A88,BOLETIN!B:F,5,0),IFERROR(IFERROR(VLOOKUP($A88,CONSOLIDADO!$A:$D,4,0),VLOOKUP($A88,BOLETIN!$B:$F,5,0)),""))</f>
        <v/>
      </c>
    </row>
    <row r="89" spans="1:14" x14ac:dyDescent="0.2">
      <c r="A89" s="95" t="str">
        <f>IF($B89="","",VLOOKUP(TRIM($B89),NSN!$A:$B,2,FALSE))</f>
        <v>C903239</v>
      </c>
      <c r="B89" s="336" t="s">
        <v>474</v>
      </c>
      <c r="C89" s="377" t="s">
        <v>1958</v>
      </c>
      <c r="D89" s="338"/>
      <c r="E89" s="338" t="s">
        <v>306</v>
      </c>
      <c r="F89" s="339">
        <v>600</v>
      </c>
      <c r="G89" s="339">
        <v>1</v>
      </c>
      <c r="H89" s="339">
        <f>353/100</f>
        <v>3.53</v>
      </c>
      <c r="I89" s="339">
        <f>40.1/100</f>
        <v>0.40100000000000002</v>
      </c>
      <c r="J89" s="339">
        <f>0.1/100</f>
        <v>1E-3</v>
      </c>
      <c r="K89" s="339">
        <f>47.9/100</f>
        <v>0.47899999999999998</v>
      </c>
      <c r="L89" s="549">
        <f>IF($A89="","",COUNTIF(LUNES!$B:$B,$A89)+COUNTIF(MARTES!$B:$B,$A89)+COUNTIF(MIERCOLES!$B:$B,$A89)+COUNTIF(JUEVES!$B:$B,$A89)+COUNTIF(VIERNES!$B:$B,$A89)+COUNTIF(SABADO!$B:$B,$A89)+COUNTIF(DOMINGO!$B:$B,$A89))</f>
        <v>0</v>
      </c>
      <c r="M89" s="96" t="str">
        <f>IF($A89="V000415",VLOOKUP($A89,BOLETIN!B:F,5,0),IFERROR(IFERROR(VLOOKUP($A89,CONSOLIDADO!$A:$D,4,0),VLOOKUP($A89,BOLETIN!$B:$F,5,0)),""))</f>
        <v/>
      </c>
    </row>
    <row r="90" spans="1:14" x14ac:dyDescent="0.2">
      <c r="A90" s="95" t="str">
        <f>IF($B90="","",VLOOKUP(TRIM($B90),NSN!$A:$B,2,FALSE))</f>
        <v>C903335</v>
      </c>
      <c r="B90" s="336" t="s">
        <v>412</v>
      </c>
      <c r="C90" s="544">
        <v>4975</v>
      </c>
      <c r="D90" s="338"/>
      <c r="E90" s="338" t="s">
        <v>919</v>
      </c>
      <c r="F90" s="339">
        <v>800</v>
      </c>
      <c r="G90" s="339">
        <v>1</v>
      </c>
      <c r="H90" s="339">
        <f>353/100</f>
        <v>3.53</v>
      </c>
      <c r="I90" s="339">
        <f>40.1/100</f>
        <v>0.40100000000000002</v>
      </c>
      <c r="J90" s="339">
        <f>0.1/100</f>
        <v>1E-3</v>
      </c>
      <c r="K90" s="339">
        <f>47.9/100</f>
        <v>0.47899999999999998</v>
      </c>
      <c r="L90" s="549">
        <f>IF($A90="","",COUNTIF(LUNES!$B:$B,$A90)+COUNTIF(MARTES!$B:$B,$A90)+COUNTIF(MIERCOLES!$B:$B,$A90)+COUNTIF(JUEVES!$B:$B,$A90)+COUNTIF(VIERNES!$B:$B,$A90)+COUNTIF(SABADO!$B:$B,$A90)+COUNTIF(DOMINGO!$B:$B,$A90))</f>
        <v>11</v>
      </c>
      <c r="M90" s="96">
        <f>IF($A90="V000415",VLOOKUP($A90,BOLETIN!B:F,5,0),IFERROR(IFERROR(VLOOKUP($A90,CONSOLIDADO!$A:$D,4,0),VLOOKUP($A90,BOLETIN!$B:$F,5,0)),""))</f>
        <v>4975</v>
      </c>
    </row>
    <row r="91" spans="1:14" x14ac:dyDescent="0.2">
      <c r="A91" s="95" t="str">
        <f>IF($B91="","",VLOOKUP(TRIM($B91),NSN!$A:$B,2,FALSE))</f>
        <v>V000167</v>
      </c>
      <c r="B91" s="336" t="s">
        <v>650</v>
      </c>
      <c r="C91" s="544">
        <v>2447</v>
      </c>
      <c r="D91" s="338"/>
      <c r="E91" s="338" t="s">
        <v>282</v>
      </c>
      <c r="F91" s="339">
        <v>400</v>
      </c>
      <c r="G91" s="339">
        <v>1</v>
      </c>
      <c r="H91" s="339">
        <f>141/100</f>
        <v>1.41</v>
      </c>
      <c r="I91" s="339">
        <f>6.9/100</f>
        <v>6.9000000000000006E-2</v>
      </c>
      <c r="J91" s="339">
        <f>8/100</f>
        <v>0.08</v>
      </c>
      <c r="K91" s="339">
        <f>10.2/100</f>
        <v>0.10199999999999999</v>
      </c>
      <c r="L91" s="549">
        <f>IF($A91="","",COUNTIF(LUNES!$B:$B,$A91)+COUNTIF(MARTES!$B:$B,$A91)+COUNTIF(MIERCOLES!$B:$B,$A91)+COUNTIF(JUEVES!$B:$B,$A91)+COUNTIF(VIERNES!$B:$B,$A91)+COUNTIF(SABADO!$B:$B,$A91)+COUNTIF(DOMINGO!$B:$B,$A91))</f>
        <v>0</v>
      </c>
      <c r="M91" s="96">
        <f>IF($A91="V000415",VLOOKUP($A91,BOLETIN!B:F,5,0),IFERROR(IFERROR(VLOOKUP($A91,CONSOLIDADO!$A:$D,4,0),VLOOKUP($A91,BOLETIN!$B:$F,5,0)),""))</f>
        <v>2447</v>
      </c>
    </row>
    <row r="92" spans="1:14" x14ac:dyDescent="0.2">
      <c r="A92" s="95" t="str">
        <f>IF($B92="","",VLOOKUP(TRIM($B92),NSN!$A:$B,2,FALSE))</f>
        <v>V000170</v>
      </c>
      <c r="B92" s="336" t="s">
        <v>196</v>
      </c>
      <c r="C92" s="544">
        <v>1190</v>
      </c>
      <c r="D92" s="338"/>
      <c r="E92" s="338" t="s">
        <v>244</v>
      </c>
      <c r="F92" s="339">
        <v>650</v>
      </c>
      <c r="G92" s="339">
        <v>0.95599999999999996</v>
      </c>
      <c r="H92" s="339">
        <f>19/100</f>
        <v>0.19</v>
      </c>
      <c r="I92" s="339">
        <f>1.7/100</f>
        <v>1.7000000000000001E-2</v>
      </c>
      <c r="J92" s="339">
        <f>0.4/100</f>
        <v>4.0000000000000001E-3</v>
      </c>
      <c r="K92" s="339">
        <f>2.2/100</f>
        <v>2.2000000000000002E-2</v>
      </c>
      <c r="L92" s="549">
        <f>IF($A92="","",COUNTIF(LUNES!$B:$B,$A92)+COUNTIF(MARTES!$B:$B,$A92)+COUNTIF(MIERCOLES!$B:$B,$A92)+COUNTIF(JUEVES!$B:$B,$A92)+COUNTIF(VIERNES!$B:$B,$A92)+COUNTIF(SABADO!$B:$B,$A92)+COUNTIF(DOMINGO!$B:$B,$A92))</f>
        <v>3</v>
      </c>
      <c r="M92" s="96">
        <f>IF($A92="V000415",VLOOKUP($A92,BOLETIN!B:F,5,0),IFERROR(IFERROR(VLOOKUP($A92,CONSOLIDADO!$A:$D,4,0),VLOOKUP($A92,BOLETIN!$B:$F,5,0)),""))</f>
        <v>1190</v>
      </c>
    </row>
    <row r="93" spans="1:14" x14ac:dyDescent="0.2">
      <c r="A93" s="95" t="str">
        <f>IF($B93="","",VLOOKUP(TRIM($B93),NSN!$A:$B,2,FALSE))</f>
        <v>C000193</v>
      </c>
      <c r="B93" s="336" t="s">
        <v>37</v>
      </c>
      <c r="C93" s="544">
        <v>2056</v>
      </c>
      <c r="D93" s="338"/>
      <c r="E93" s="338" t="s">
        <v>15</v>
      </c>
      <c r="F93" s="339">
        <v>1000</v>
      </c>
      <c r="G93" s="339">
        <v>1</v>
      </c>
      <c r="H93" s="339">
        <f>337/100</f>
        <v>3.37</v>
      </c>
      <c r="I93" s="339">
        <f>24/100</f>
        <v>0.24</v>
      </c>
      <c r="J93" s="339">
        <f>1.3/100</f>
        <v>1.3000000000000001E-2</v>
      </c>
      <c r="K93" s="339">
        <f>57.4/100</f>
        <v>0.57399999999999995</v>
      </c>
      <c r="L93" s="549">
        <f>IF($A93="","",COUNTIF(LUNES!$B:$B,$A93)+COUNTIF(MARTES!$B:$B,$A93)+COUNTIF(MIERCOLES!$B:$B,$A93)+COUNTIF(JUEVES!$B:$B,$A93)+COUNTIF(VIERNES!$B:$B,$A93)+COUNTIF(SABADO!$B:$B,$A93)+COUNTIF(DOMINGO!$B:$B,$A93))</f>
        <v>1</v>
      </c>
      <c r="M93" s="96">
        <f>IF($A93="V000415",VLOOKUP($A93,BOLETIN!B:F,5,0),IFERROR(IFERROR(VLOOKUP($A93,CONSOLIDADO!$A:$D,4,0),VLOOKUP($A93,BOLETIN!$B:$F,5,0)),""))</f>
        <v>2056</v>
      </c>
    </row>
    <row r="94" spans="1:14" x14ac:dyDescent="0.2">
      <c r="A94" s="95" t="str">
        <f>IF($B94="","",VLOOKUP(TRIM($B94),NSN!$A:$B,2,FALSE))</f>
        <v>V000174</v>
      </c>
      <c r="B94" s="336" t="s">
        <v>266</v>
      </c>
      <c r="C94" s="544">
        <v>8887</v>
      </c>
      <c r="D94" s="338"/>
      <c r="E94" s="338" t="s">
        <v>15</v>
      </c>
      <c r="F94" s="339">
        <v>1000</v>
      </c>
      <c r="G94" s="339">
        <v>1</v>
      </c>
      <c r="H94" s="339">
        <f>430/100</f>
        <v>4.3</v>
      </c>
      <c r="I94" s="339">
        <f>47/100</f>
        <v>0.47</v>
      </c>
      <c r="J94" s="339">
        <f>7/100</f>
        <v>7.0000000000000007E-2</v>
      </c>
      <c r="K94" s="339">
        <f>36/100</f>
        <v>0.36</v>
      </c>
      <c r="L94" s="549">
        <f>IF($A94="","",COUNTIF(LUNES!$B:$B,$A94)+COUNTIF(MARTES!$B:$B,$A94)+COUNTIF(MIERCOLES!$B:$B,$A94)+COUNTIF(JUEVES!$B:$B,$A94)+COUNTIF(VIERNES!$B:$B,$A94)+COUNTIF(SABADO!$B:$B,$A94)+COUNTIF(DOMINGO!$B:$B,$A94))</f>
        <v>7</v>
      </c>
      <c r="M94" s="96">
        <f>IF($A94="V000415",VLOOKUP($A94,BOLETIN!B:F,5,0),IFERROR(IFERROR(VLOOKUP($A94,CONSOLIDADO!$A:$D,4,0),VLOOKUP($A94,BOLETIN!$B:$F,5,0)),""))</f>
        <v>8887</v>
      </c>
    </row>
    <row r="95" spans="1:14" x14ac:dyDescent="0.2">
      <c r="A95" s="95" t="str">
        <f>IF($B95="","",VLOOKUP(TRIM($B95),NSN!$A:$B,2,FALSE))</f>
        <v>V000176</v>
      </c>
      <c r="B95" s="336" t="s">
        <v>917</v>
      </c>
      <c r="C95" s="544">
        <v>1146</v>
      </c>
      <c r="D95" s="338"/>
      <c r="E95" s="338" t="s">
        <v>15</v>
      </c>
      <c r="F95" s="339">
        <v>1000</v>
      </c>
      <c r="G95" s="339">
        <v>1</v>
      </c>
      <c r="H95" s="339"/>
      <c r="I95" s="339"/>
      <c r="J95" s="339"/>
      <c r="K95" s="339"/>
      <c r="L95" s="549">
        <f>IF($A95="","",COUNTIF(LUNES!$B:$B,$A95)+COUNTIF(MARTES!$B:$B,$A95)+COUNTIF(MIERCOLES!$B:$B,$A95)+COUNTIF(JUEVES!$B:$B,$A95)+COUNTIF(VIERNES!$B:$B,$A95)+COUNTIF(SABADO!$B:$B,$A95)+COUNTIF(DOMINGO!$B:$B,$A95))</f>
        <v>0</v>
      </c>
      <c r="M95" s="96">
        <f>IF($A95="V000415",VLOOKUP($A95,BOLETIN!B:F,5,0),IFERROR(IFERROR(VLOOKUP($A95,CONSOLIDADO!$A:$D,4,0),VLOOKUP($A95,BOLETIN!$B:$F,5,0)),""))</f>
        <v>1146</v>
      </c>
    </row>
    <row r="96" spans="1:14" x14ac:dyDescent="0.2">
      <c r="A96" s="95" t="str">
        <f>IF($B96="","",VLOOKUP(TRIM($B96),NSN!$A:$B,2,FALSE))</f>
        <v>C902737</v>
      </c>
      <c r="B96" s="336" t="s">
        <v>414</v>
      </c>
      <c r="C96" s="544">
        <v>3900</v>
      </c>
      <c r="D96" s="338"/>
      <c r="E96" s="338" t="s">
        <v>15</v>
      </c>
      <c r="F96" s="339">
        <v>1000</v>
      </c>
      <c r="G96" s="339">
        <v>0.79700000000000004</v>
      </c>
      <c r="H96" s="339">
        <f>132/100</f>
        <v>1.32</v>
      </c>
      <c r="I96" s="339">
        <f>21.2/100</f>
        <v>0.21199999999999999</v>
      </c>
      <c r="J96" s="339">
        <f>4.4/100</f>
        <v>4.4000000000000004E-2</v>
      </c>
      <c r="K96" s="339">
        <f>1.8/100</f>
        <v>1.8000000000000002E-2</v>
      </c>
      <c r="L96" s="549">
        <f>IF($A96="","",COUNTIF(LUNES!$B:$B,$A96)+COUNTIF(MARTES!$B:$B,$A96)+COUNTIF(MIERCOLES!$B:$B,$A96)+COUNTIF(JUEVES!$B:$B,$A96)+COUNTIF(VIERNES!$B:$B,$A96)+COUNTIF(SABADO!$B:$B,$A96)+COUNTIF(DOMINGO!$B:$B,$A96))</f>
        <v>2</v>
      </c>
      <c r="M96" s="96">
        <f>IF($A96="V000415",VLOOKUP($A96,BOLETIN!B:F,5,0),IFERROR(IFERROR(VLOOKUP($A96,CONSOLIDADO!$A:$D,4,0),VLOOKUP($A96,BOLETIN!$B:$F,5,0)),""))</f>
        <v>3900</v>
      </c>
    </row>
    <row r="97" spans="1:14" x14ac:dyDescent="0.2">
      <c r="A97" s="95" t="str">
        <f>IF($B97="","",VLOOKUP(TRIM($B97),NSN!$A:$B,2,FALSE))</f>
        <v>C903468</v>
      </c>
      <c r="B97" s="336" t="s">
        <v>2160</v>
      </c>
      <c r="C97" s="543">
        <v>4100</v>
      </c>
      <c r="D97" s="338"/>
      <c r="E97" s="338" t="s">
        <v>15</v>
      </c>
      <c r="F97" s="339">
        <v>1000</v>
      </c>
      <c r="G97" s="339">
        <v>0.79700000000000004</v>
      </c>
      <c r="H97" s="339">
        <f>132/100</f>
        <v>1.32</v>
      </c>
      <c r="I97" s="339">
        <f>21.2/100</f>
        <v>0.21199999999999999</v>
      </c>
      <c r="J97" s="339">
        <f>4.4/100</f>
        <v>4.4000000000000004E-2</v>
      </c>
      <c r="K97" s="339">
        <f>1.8/100</f>
        <v>1.8000000000000002E-2</v>
      </c>
      <c r="L97" s="549">
        <f>IF($A97="","",COUNTIF(LUNES!$B:$B,$A97)+COUNTIF(MARTES!$B:$B,$A97)+COUNTIF(MIERCOLES!$B:$B,$A97)+COUNTIF(JUEVES!$B:$B,$A97)+COUNTIF(VIERNES!$B:$B,$A97)+COUNTIF(SABADO!$B:$B,$A97)+COUNTIF(DOMINGO!$B:$B,$A97))</f>
        <v>1</v>
      </c>
      <c r="M97" s="96">
        <f>IF($A97="V000415",VLOOKUP($A97,BOLETIN!B:F,5,0),IFERROR(IFERROR(VLOOKUP($A97,CONSOLIDADO!$A:$D,4,0),VLOOKUP($A97,BOLETIN!$B:$F,5,0)),""))</f>
        <v>4100</v>
      </c>
    </row>
    <row r="98" spans="1:14" x14ac:dyDescent="0.2">
      <c r="A98" s="95" t="str">
        <f>IF($B98="","",VLOOKUP(TRIM($B98),NSN!$A:$B,2,FALSE))</f>
        <v>V000179</v>
      </c>
      <c r="B98" s="336" t="s">
        <v>438</v>
      </c>
      <c r="C98" s="544">
        <v>9947</v>
      </c>
      <c r="D98" s="338"/>
      <c r="E98" s="338" t="s">
        <v>15</v>
      </c>
      <c r="F98" s="339">
        <v>1000</v>
      </c>
      <c r="G98" s="339">
        <v>0.51100000000000001</v>
      </c>
      <c r="H98" s="339">
        <f>431/100</f>
        <v>4.3099999999999996</v>
      </c>
      <c r="I98" s="339">
        <f>13.4/100</f>
        <v>0.13400000000000001</v>
      </c>
      <c r="J98" s="339">
        <f>38.8/100</f>
        <v>0.38799999999999996</v>
      </c>
      <c r="K98" s="339">
        <f>7.1/100</f>
        <v>7.0999999999999994E-2</v>
      </c>
      <c r="L98" s="549">
        <f>IF($A98="","",COUNTIF(LUNES!$B:$B,$A98)+COUNTIF(MARTES!$B:$B,$A98)+COUNTIF(MIERCOLES!$B:$B,$A98)+COUNTIF(JUEVES!$B:$B,$A98)+COUNTIF(VIERNES!$B:$B,$A98)+COUNTIF(SABADO!$B:$B,$A98)+COUNTIF(DOMINGO!$B:$B,$A98))</f>
        <v>0</v>
      </c>
      <c r="M98" s="96">
        <f>IF($A98="V000415",VLOOKUP($A98,BOLETIN!B:F,5,0),IFERROR(IFERROR(VLOOKUP($A98,CONSOLIDADO!$A:$D,4,0),VLOOKUP($A98,BOLETIN!$B:$F,5,0)),""))</f>
        <v>9947</v>
      </c>
    </row>
    <row r="99" spans="1:14" x14ac:dyDescent="0.2">
      <c r="A99" s="95" t="str">
        <f>IF($B99="","",VLOOKUP(TRIM($B99),NSN!$A:$B,2,FALSE))</f>
        <v>V000185</v>
      </c>
      <c r="B99" s="336" t="s">
        <v>12</v>
      </c>
      <c r="C99" s="544">
        <v>4105</v>
      </c>
      <c r="D99" s="338" t="s">
        <v>9</v>
      </c>
      <c r="E99" s="338" t="s">
        <v>15</v>
      </c>
      <c r="F99" s="339">
        <v>1000</v>
      </c>
      <c r="G99" s="339">
        <v>1</v>
      </c>
      <c r="H99" s="339">
        <f>351/100</f>
        <v>3.51</v>
      </c>
      <c r="I99" s="339">
        <f>0.6/100</f>
        <v>6.0000000000000001E-3</v>
      </c>
      <c r="J99" s="339">
        <f>0.2/100</f>
        <v>2E-3</v>
      </c>
      <c r="K99" s="339">
        <f>86.7/100</f>
        <v>0.86699999999999999</v>
      </c>
      <c r="L99" s="549">
        <f>IF($A99="","",COUNTIF(LUNES!$B:$B,$A99)+COUNTIF(MARTES!$B:$B,$A99)+COUNTIF(MIERCOLES!$B:$B,$A99)+COUNTIF(JUEVES!$B:$B,$A99)+COUNTIF(VIERNES!$B:$B,$A99)+COUNTIF(SABADO!$B:$B,$A99)+COUNTIF(DOMINGO!$B:$B,$A99))</f>
        <v>0</v>
      </c>
      <c r="M99" s="96">
        <f>IF($A99="V000415",VLOOKUP($A99,BOLETIN!B:F,5,0),IFERROR(IFERROR(VLOOKUP($A99,CONSOLIDADO!$A:$D,4,0),VLOOKUP($A99,BOLETIN!$B:$F,5,0)),""))</f>
        <v>4105</v>
      </c>
    </row>
    <row r="100" spans="1:14" x14ac:dyDescent="0.2">
      <c r="A100" s="95" t="str">
        <f>IF($B100="","",VLOOKUP(TRIM($B100),NSN!$A:$B,2,FALSE))</f>
        <v>V000188</v>
      </c>
      <c r="B100" s="336" t="s">
        <v>269</v>
      </c>
      <c r="C100" s="544">
        <v>3935</v>
      </c>
      <c r="D100" s="350"/>
      <c r="E100" s="350" t="s">
        <v>15</v>
      </c>
      <c r="F100" s="348">
        <v>1000</v>
      </c>
      <c r="G100" s="348">
        <v>1</v>
      </c>
      <c r="H100" s="350">
        <f>602/100</f>
        <v>6.02</v>
      </c>
      <c r="I100" s="350">
        <f>25.7/100</f>
        <v>0.25700000000000001</v>
      </c>
      <c r="J100" s="350">
        <f>47.8/100</f>
        <v>0.47799999999999998</v>
      </c>
      <c r="K100" s="350">
        <f>25.7/100</f>
        <v>0.25700000000000001</v>
      </c>
      <c r="L100" s="549">
        <f>IF($A100="","",COUNTIF(LUNES!$B:$B,$A100)+COUNTIF(MARTES!$B:$B,$A100)+COUNTIF(MIERCOLES!$B:$B,$A100)+COUNTIF(JUEVES!$B:$B,$A100)+COUNTIF(VIERNES!$B:$B,$A100)+COUNTIF(SABADO!$B:$B,$A100)+COUNTIF(DOMINGO!$B:$B,$A100))</f>
        <v>0</v>
      </c>
      <c r="M100" s="96">
        <f>IF($A100="V000415",VLOOKUP($A100,BOLETIN!B:F,5,0),IFERROR(IFERROR(VLOOKUP($A100,CONSOLIDADO!$A:$D,4,0),VLOOKUP($A100,BOLETIN!$B:$F,5,0)),""))</f>
        <v>3935</v>
      </c>
    </row>
    <row r="101" spans="1:14" x14ac:dyDescent="0.2">
      <c r="A101" s="95" t="str">
        <f>IF($B101="","",VLOOKUP(TRIM($B101),NSN!$A:$B,2,FALSE))</f>
        <v>V000518</v>
      </c>
      <c r="B101" s="336" t="s">
        <v>563</v>
      </c>
      <c r="C101" s="544">
        <v>3203</v>
      </c>
      <c r="D101" s="338" t="s">
        <v>9</v>
      </c>
      <c r="E101" s="338" t="s">
        <v>168</v>
      </c>
      <c r="F101" s="339">
        <v>1000</v>
      </c>
      <c r="G101" s="339">
        <v>1</v>
      </c>
      <c r="H101" s="339">
        <f>897/100</f>
        <v>8.9700000000000006</v>
      </c>
      <c r="I101" s="339">
        <f>0/100</f>
        <v>0</v>
      </c>
      <c r="J101" s="339">
        <f>99.7/100</f>
        <v>0.997</v>
      </c>
      <c r="K101" s="339">
        <f>0/100</f>
        <v>0</v>
      </c>
      <c r="L101" s="549">
        <f>IF($A101="","",COUNTIF(LUNES!$B:$B,$A101)+COUNTIF(MARTES!$B:$B,$A101)+COUNTIF(MIERCOLES!$B:$B,$A101)+COUNTIF(JUEVES!$B:$B,$A101)+COUNTIF(VIERNES!$B:$B,$A101)+COUNTIF(SABADO!$B:$B,$A101)+COUNTIF(DOMINGO!$B:$B,$A101))</f>
        <v>8</v>
      </c>
      <c r="M101" s="96">
        <f>IF($A101="V000415",VLOOKUP($A101,BOLETIN!B:F,5,0),IFERROR(IFERROR(VLOOKUP($A101,CONSOLIDADO!$A:$D,4,0),VLOOKUP($A101,BOLETIN!$B:$F,5,0)),""))</f>
        <v>3203</v>
      </c>
    </row>
    <row r="102" spans="1:14" x14ac:dyDescent="0.2">
      <c r="A102" s="95" t="str">
        <f>IF($B102="","",VLOOKUP(TRIM($B102),NSN!$A:$B,2,FALSE))</f>
        <v>V000192</v>
      </c>
      <c r="B102" s="336" t="s">
        <v>565</v>
      </c>
      <c r="C102" s="544">
        <v>4450</v>
      </c>
      <c r="D102" s="338"/>
      <c r="E102" s="338" t="s">
        <v>15</v>
      </c>
      <c r="F102" s="339">
        <v>1000</v>
      </c>
      <c r="G102" s="339">
        <v>1</v>
      </c>
      <c r="H102" s="339">
        <f>746/100</f>
        <v>7.46</v>
      </c>
      <c r="I102" s="339">
        <f>0.9/100</f>
        <v>9.0000000000000011E-3</v>
      </c>
      <c r="J102" s="339">
        <f>82.9/100</f>
        <v>0.82900000000000007</v>
      </c>
      <c r="K102" s="339">
        <f>0.1/100</f>
        <v>1E-3</v>
      </c>
      <c r="L102" s="549">
        <f>IF($A102="","",COUNTIF(LUNES!$B:$B,$A102)+COUNTIF(MARTES!$B:$B,$A102)+COUNTIF(MIERCOLES!$B:$B,$A102)+COUNTIF(JUEVES!$B:$B,$A102)+COUNTIF(VIERNES!$B:$B,$A102)+COUNTIF(SABADO!$B:$B,$A102)+COUNTIF(DOMINGO!$B:$B,$A102))</f>
        <v>2</v>
      </c>
      <c r="M102" s="96">
        <f>IF($A102="V000415",VLOOKUP($A102,BOLETIN!B:F,5,0),IFERROR(IFERROR(VLOOKUP($A102,CONSOLIDADO!$A:$D,4,0),VLOOKUP($A102,BOLETIN!$B:$F,5,0)),""))</f>
        <v>4450</v>
      </c>
      <c r="N102" s="335" t="s">
        <v>117</v>
      </c>
    </row>
    <row r="103" spans="1:14" x14ac:dyDescent="0.2">
      <c r="A103" s="95" t="str">
        <f>IF($B103="","",VLOOKUP(TRIM($B103),NSN!$A:$B,2,FALSE))</f>
        <v>V000193</v>
      </c>
      <c r="B103" s="336" t="s">
        <v>88</v>
      </c>
      <c r="C103" s="544">
        <v>1634</v>
      </c>
      <c r="D103" s="338" t="s">
        <v>9</v>
      </c>
      <c r="E103" s="338" t="s">
        <v>15</v>
      </c>
      <c r="F103" s="339">
        <v>1000</v>
      </c>
      <c r="G103" s="339">
        <v>0.85599999999999998</v>
      </c>
      <c r="H103" s="339">
        <f>56/100</f>
        <v>0.56000000000000005</v>
      </c>
      <c r="I103" s="339">
        <f>0.3/100</f>
        <v>3.0000000000000001E-3</v>
      </c>
      <c r="J103" s="339">
        <f>0.3/100</f>
        <v>3.0000000000000001E-3</v>
      </c>
      <c r="K103" s="339">
        <f>14.5/100</f>
        <v>0.14499999999999999</v>
      </c>
      <c r="L103" s="549">
        <f>IF($A103="","",COUNTIF(LUNES!$B:$B,$A103)+COUNTIF(MARTES!$B:$B,$A103)+COUNTIF(MIERCOLES!$B:$B,$A103)+COUNTIF(JUEVES!$B:$B,$A103)+COUNTIF(VIERNES!$B:$B,$A103)+COUNTIF(SABADO!$B:$B,$A103)+COUNTIF(DOMINGO!$B:$B,$A103))</f>
        <v>1</v>
      </c>
      <c r="M103" s="96">
        <f>IF($A103="V000415",VLOOKUP($A103,BOLETIN!B:F,5,0),IFERROR(IFERROR(VLOOKUP($A103,CONSOLIDADO!$A:$D,4,0),VLOOKUP($A103,BOLETIN!$B:$F,5,0)),""))</f>
        <v>1634</v>
      </c>
      <c r="N103" s="335" t="s">
        <v>118</v>
      </c>
    </row>
    <row r="104" spans="1:14" x14ac:dyDescent="0.2">
      <c r="A104" s="95" t="str">
        <f>IF($B104="","",VLOOKUP(TRIM($B104),NSN!$A:$B,2,FALSE))</f>
        <v>V000810</v>
      </c>
      <c r="B104" s="336" t="s">
        <v>65</v>
      </c>
      <c r="C104" s="544">
        <v>1295</v>
      </c>
      <c r="D104" s="338"/>
      <c r="E104" s="338" t="s">
        <v>15</v>
      </c>
      <c r="F104" s="339">
        <v>1000</v>
      </c>
      <c r="G104" s="339">
        <v>0.85599999999999998</v>
      </c>
      <c r="H104" s="339">
        <f>56/100</f>
        <v>0.56000000000000005</v>
      </c>
      <c r="I104" s="339">
        <f>0.3/100</f>
        <v>3.0000000000000001E-3</v>
      </c>
      <c r="J104" s="339">
        <f>0.3/100</f>
        <v>3.0000000000000001E-3</v>
      </c>
      <c r="K104" s="339">
        <f>14.5/100</f>
        <v>0.14499999999999999</v>
      </c>
      <c r="L104" s="549">
        <f>IF($A104="","",COUNTIF(LUNES!$B:$B,$A104)+COUNTIF(MARTES!$B:$B,$A104)+COUNTIF(MIERCOLES!$B:$B,$A104)+COUNTIF(JUEVES!$B:$B,$A104)+COUNTIF(VIERNES!$B:$B,$A104)+COUNTIF(SABADO!$B:$B,$A104)+COUNTIF(DOMINGO!$B:$B,$A104))</f>
        <v>0</v>
      </c>
      <c r="M104" s="96">
        <f>IF($A104="V000415",VLOOKUP($A104,BOLETIN!B:F,5,0),IFERROR(IFERROR(VLOOKUP($A104,CONSOLIDADO!$A:$D,4,0),VLOOKUP($A104,BOLETIN!$B:$F,5,0)),""))</f>
        <v>1295</v>
      </c>
    </row>
    <row r="105" spans="1:14" x14ac:dyDescent="0.2">
      <c r="A105" s="95" t="str">
        <f>IF($B105="","",VLOOKUP(TRIM($B105),NSN!$A:$B,2,FALSE))</f>
        <v>V000523</v>
      </c>
      <c r="B105" s="336" t="s">
        <v>568</v>
      </c>
      <c r="C105" s="544">
        <v>1626</v>
      </c>
      <c r="D105" s="338"/>
      <c r="E105" s="338" t="s">
        <v>110</v>
      </c>
      <c r="F105" s="339">
        <v>250</v>
      </c>
      <c r="G105" s="339">
        <v>1</v>
      </c>
      <c r="H105" s="339">
        <f>716/100</f>
        <v>7.16</v>
      </c>
      <c r="I105" s="339">
        <f>0.8/100</f>
        <v>8.0000000000000002E-3</v>
      </c>
      <c r="J105" s="339">
        <f>80.2/100</f>
        <v>0.80200000000000005</v>
      </c>
      <c r="K105" s="339">
        <f>0.5/100</f>
        <v>5.0000000000000001E-3</v>
      </c>
      <c r="L105" s="549">
        <f>IF($A105="","",COUNTIF(LUNES!$B:$B,$A105)+COUNTIF(MARTES!$B:$B,$A105)+COUNTIF(MIERCOLES!$B:$B,$A105)+COUNTIF(JUEVES!$B:$B,$A105)+COUNTIF(VIERNES!$B:$B,$A105)+COUNTIF(SABADO!$B:$B,$A105)+COUNTIF(DOMINGO!$B:$B,$A105))</f>
        <v>1</v>
      </c>
      <c r="M105" s="96">
        <f>IF($A105="V000415",VLOOKUP($A105,BOLETIN!B:F,5,0),IFERROR(IFERROR(VLOOKUP($A105,CONSOLIDADO!$A:$D,4,0),VLOOKUP($A105,BOLETIN!$B:$F,5,0)),""))</f>
        <v>1626</v>
      </c>
    </row>
    <row r="106" spans="1:14" x14ac:dyDescent="0.2">
      <c r="A106" s="95" t="str">
        <f>IF($B106="","",VLOOKUP(TRIM($B106),NSN!$A:$B,2,FALSE))</f>
        <v>V000194</v>
      </c>
      <c r="B106" s="336" t="s">
        <v>567</v>
      </c>
      <c r="C106" s="544">
        <v>3467</v>
      </c>
      <c r="D106" s="338"/>
      <c r="E106" s="338" t="s">
        <v>15</v>
      </c>
      <c r="F106" s="339">
        <v>1000</v>
      </c>
      <c r="G106" s="339">
        <v>1</v>
      </c>
      <c r="H106" s="339">
        <f>716/100</f>
        <v>7.16</v>
      </c>
      <c r="I106" s="339">
        <f>0.8/100</f>
        <v>8.0000000000000002E-3</v>
      </c>
      <c r="J106" s="339">
        <f>80.2/100</f>
        <v>0.80200000000000005</v>
      </c>
      <c r="K106" s="339">
        <f>0.5/100</f>
        <v>5.0000000000000001E-3</v>
      </c>
      <c r="L106" s="549">
        <f>IF($A106="","",COUNTIF(LUNES!$B:$B,$A106)+COUNTIF(MARTES!$B:$B,$A106)+COUNTIF(MIERCOLES!$B:$B,$A106)+COUNTIF(JUEVES!$B:$B,$A106)+COUNTIF(VIERNES!$B:$B,$A106)+COUNTIF(SABADO!$B:$B,$A106)+COUNTIF(DOMINGO!$B:$B,$A106))</f>
        <v>0</v>
      </c>
      <c r="M106" s="96">
        <f>IF($A106="V000415",VLOOKUP($A106,BOLETIN!B:F,5,0),IFERROR(IFERROR(VLOOKUP($A106,CONSOLIDADO!$A:$D,4,0),VLOOKUP($A106,BOLETIN!$B:$F,5,0)),""))</f>
        <v>3467</v>
      </c>
    </row>
    <row r="107" spans="1:14" x14ac:dyDescent="0.2">
      <c r="A107" s="95" t="str">
        <f>IF($B107="","",VLOOKUP(TRIM($B107),NSN!$A:$B,2,FALSE))</f>
        <v>V000361</v>
      </c>
      <c r="B107" s="336" t="s">
        <v>622</v>
      </c>
      <c r="C107" s="544">
        <v>2397</v>
      </c>
      <c r="D107" s="338" t="s">
        <v>9</v>
      </c>
      <c r="E107" s="338" t="s">
        <v>15</v>
      </c>
      <c r="F107" s="339">
        <v>1000</v>
      </c>
      <c r="G107" s="339">
        <v>1</v>
      </c>
      <c r="H107" s="339">
        <f>626/100</f>
        <v>6.26</v>
      </c>
      <c r="I107" s="339">
        <f>1.3/100</f>
        <v>1.3000000000000001E-2</v>
      </c>
      <c r="J107" s="339">
        <f>64.8/100</f>
        <v>0.64800000000000002</v>
      </c>
      <c r="K107" s="339">
        <f>9.5/100</f>
        <v>9.5000000000000001E-2</v>
      </c>
      <c r="L107" s="549">
        <f>IF($A107="","",COUNTIF(LUNES!$B:$B,$A107)+COUNTIF(MARTES!$B:$B,$A107)+COUNTIF(MIERCOLES!$B:$B,$A107)+COUNTIF(JUEVES!$B:$B,$A107)+COUNTIF(VIERNES!$B:$B,$A107)+COUNTIF(SABADO!$B:$B,$A107)+COUNTIF(DOMINGO!$B:$B,$A107))</f>
        <v>2</v>
      </c>
      <c r="M107" s="96">
        <f>IF($A107="V000415",VLOOKUP($A107,BOLETIN!B:F,5,0),IFERROR(IFERROR(VLOOKUP($A107,CONSOLIDADO!$A:$D,4,0),VLOOKUP($A107,BOLETIN!$B:$F,5,0)),""))</f>
        <v>2397</v>
      </c>
    </row>
    <row r="108" spans="1:14" x14ac:dyDescent="0.2">
      <c r="A108" s="95" t="str">
        <f>IF($B108="","",VLOOKUP(TRIM($B108),NSN!$A:$B,2,FALSE))</f>
        <v>C903445</v>
      </c>
      <c r="B108" s="74" t="s">
        <v>2001</v>
      </c>
      <c r="C108" s="544">
        <v>1057</v>
      </c>
      <c r="D108" s="338"/>
      <c r="E108" s="338" t="s">
        <v>2000</v>
      </c>
      <c r="F108" s="339">
        <v>200</v>
      </c>
      <c r="G108" s="339">
        <v>1</v>
      </c>
      <c r="H108" s="339">
        <f>42/100</f>
        <v>0.42</v>
      </c>
      <c r="I108" s="364">
        <f>0.3/100</f>
        <v>3.0000000000000001E-3</v>
      </c>
      <c r="J108" s="339">
        <f>0.2/100</f>
        <v>2E-3</v>
      </c>
      <c r="K108" s="339">
        <f>6.1/100</f>
        <v>6.0999999999999999E-2</v>
      </c>
      <c r="L108" s="549">
        <f>IF($A108="","",COUNTIF(LUNES!$B:$B,$A108)+COUNTIF(MARTES!$B:$B,$A108)+COUNTIF(MIERCOLES!$B:$B,$A108)+COUNTIF(JUEVES!$B:$B,$A108)+COUNTIF(VIERNES!$B:$B,$A108)+COUNTIF(SABADO!$B:$B,$A108)+COUNTIF(DOMINGO!$B:$B,$A108))</f>
        <v>1</v>
      </c>
      <c r="M108" s="96">
        <f>IF($A108="V000415",VLOOKUP($A108,BOLETIN!B:F,5,0),IFERROR(IFERROR(VLOOKUP($A108,CONSOLIDADO!$A:$D,4,0),VLOOKUP($A108,BOLETIN!$B:$F,5,0)),""))</f>
        <v>1057</v>
      </c>
    </row>
    <row r="109" spans="1:14" x14ac:dyDescent="0.2">
      <c r="A109" s="95" t="str">
        <f>IF($B109="","",VLOOKUP(TRIM($B109),NSN!$A:$B,2,FALSE))</f>
        <v>C903446</v>
      </c>
      <c r="B109" s="74" t="s">
        <v>2002</v>
      </c>
      <c r="C109" s="544">
        <v>1057</v>
      </c>
      <c r="D109" s="338"/>
      <c r="E109" s="338" t="s">
        <v>2000</v>
      </c>
      <c r="F109" s="339">
        <v>200</v>
      </c>
      <c r="G109" s="339">
        <v>1</v>
      </c>
      <c r="H109" s="339">
        <f>42/100</f>
        <v>0.42</v>
      </c>
      <c r="I109" s="339">
        <f>0.3/100</f>
        <v>3.0000000000000001E-3</v>
      </c>
      <c r="J109" s="339">
        <f>0.2/100</f>
        <v>2E-3</v>
      </c>
      <c r="K109" s="339">
        <f>6.1/100</f>
        <v>6.0999999999999999E-2</v>
      </c>
      <c r="L109" s="549">
        <f>IF($A109="","",COUNTIF(LUNES!$B:$B,$A109)+COUNTIF(MARTES!$B:$B,$A109)+COUNTIF(MIERCOLES!$B:$B,$A109)+COUNTIF(JUEVES!$B:$B,$A109)+COUNTIF(VIERNES!$B:$B,$A109)+COUNTIF(SABADO!$B:$B,$A109)+COUNTIF(DOMINGO!$B:$B,$A109))</f>
        <v>1</v>
      </c>
      <c r="M109" s="96">
        <f>IF($A109="V000415",VLOOKUP($A109,BOLETIN!B:F,5,0),IFERROR(IFERROR(VLOOKUP($A109,CONSOLIDADO!$A:$D,4,0),VLOOKUP($A109,BOLETIN!$B:$F,5,0)),""))</f>
        <v>1057</v>
      </c>
    </row>
    <row r="110" spans="1:14" x14ac:dyDescent="0.2">
      <c r="A110" s="95" t="str">
        <f>IF($B110="","",VLOOKUP(TRIM($B110),NSN!$A:$B,2,FALSE))</f>
        <v>V000202</v>
      </c>
      <c r="B110" s="336" t="s">
        <v>572</v>
      </c>
      <c r="C110" s="344">
        <v>792</v>
      </c>
      <c r="D110" s="338"/>
      <c r="E110" s="338" t="s">
        <v>274</v>
      </c>
      <c r="F110" s="339">
        <v>250</v>
      </c>
      <c r="G110" s="339">
        <v>1</v>
      </c>
      <c r="H110" s="339">
        <f>22/100</f>
        <v>0.22</v>
      </c>
      <c r="I110" s="339">
        <f>0.1/100</f>
        <v>1E-3</v>
      </c>
      <c r="J110" s="339">
        <f>0/100</f>
        <v>0</v>
      </c>
      <c r="K110" s="339">
        <f>5.4/100</f>
        <v>5.4000000000000006E-2</v>
      </c>
      <c r="L110" s="549">
        <f>IF($A110="","",COUNTIF(LUNES!$B:$B,$A110)+COUNTIF(MARTES!$B:$B,$A110)+COUNTIF(MIERCOLES!$B:$B,$A110)+COUNTIF(JUEVES!$B:$B,$A110)+COUNTIF(VIERNES!$B:$B,$A110)+COUNTIF(SABADO!$B:$B,$A110)+COUNTIF(DOMINGO!$B:$B,$A110))</f>
        <v>0</v>
      </c>
      <c r="M110" s="96" t="str">
        <f>IF($A110="V000415",VLOOKUP($A110,BOLETIN!B:F,5,0),IFERROR(IFERROR(VLOOKUP($A110,CONSOLIDADO!$A:$D,4,0),VLOOKUP($A110,BOLETIN!$B:$F,5,0)),""))</f>
        <v/>
      </c>
    </row>
    <row r="111" spans="1:14" x14ac:dyDescent="0.2">
      <c r="A111" s="95" t="str">
        <f>IF($B111="","",VLOOKUP(TRIM($B111),NSN!$A:$B,2,FALSE))</f>
        <v>V000200</v>
      </c>
      <c r="B111" s="336" t="s">
        <v>573</v>
      </c>
      <c r="C111" s="344">
        <v>2387</v>
      </c>
      <c r="D111" s="338"/>
      <c r="E111" s="338" t="s">
        <v>15</v>
      </c>
      <c r="F111" s="339">
        <v>1000</v>
      </c>
      <c r="G111" s="339">
        <v>1</v>
      </c>
      <c r="H111" s="339">
        <f>22/100</f>
        <v>0.22</v>
      </c>
      <c r="I111" s="339">
        <f>0.1/100</f>
        <v>1E-3</v>
      </c>
      <c r="J111" s="339">
        <f>0/100</f>
        <v>0</v>
      </c>
      <c r="K111" s="339">
        <f>5.4/100</f>
        <v>5.4000000000000006E-2</v>
      </c>
      <c r="L111" s="549">
        <f>IF($A111="","",COUNTIF(LUNES!$B:$B,$A111)+COUNTIF(MARTES!$B:$B,$A111)+COUNTIF(MIERCOLES!$B:$B,$A111)+COUNTIF(JUEVES!$B:$B,$A111)+COUNTIF(VIERNES!$B:$B,$A111)+COUNTIF(SABADO!$B:$B,$A111)+COUNTIF(DOMINGO!$B:$B,$A111))</f>
        <v>0</v>
      </c>
      <c r="M111" s="96" t="str">
        <f>IF($A111="V000415",VLOOKUP($A111,BOLETIN!B:F,5,0),IFERROR(IFERROR(VLOOKUP($A111,CONSOLIDADO!$A:$D,4,0),VLOOKUP($A111,BOLETIN!$B:$F,5,0)),""))</f>
        <v/>
      </c>
    </row>
    <row r="112" spans="1:14" x14ac:dyDescent="0.2">
      <c r="A112" s="95" t="str">
        <f>IF($B112="","",VLOOKUP(TRIM($B112),NSN!$A:$B,2,FALSE))</f>
        <v>V000456</v>
      </c>
      <c r="B112" s="336" t="s">
        <v>233</v>
      </c>
      <c r="C112" s="96">
        <v>5768</v>
      </c>
      <c r="D112" s="96"/>
      <c r="E112" s="338" t="s">
        <v>15</v>
      </c>
      <c r="F112" s="339">
        <v>1000</v>
      </c>
      <c r="G112" s="339">
        <v>1</v>
      </c>
      <c r="H112" s="350">
        <f>316/100</f>
        <v>3.16</v>
      </c>
      <c r="I112" s="350">
        <f>0.3/100</f>
        <v>3.0000000000000001E-3</v>
      </c>
      <c r="J112" s="350">
        <f>0/100</f>
        <v>0</v>
      </c>
      <c r="K112" s="348">
        <f>79.1/100</f>
        <v>0.79099999999999993</v>
      </c>
      <c r="L112" s="549">
        <f>IF($A112="","",COUNTIF(LUNES!$B:$B,$A112)+COUNTIF(MARTES!$B:$B,$A112)+COUNTIF(MIERCOLES!$B:$B,$A112)+COUNTIF(JUEVES!$B:$B,$A112)+COUNTIF(VIERNES!$B:$B,$A112)+COUNTIF(SABADO!$B:$B,$A112)+COUNTIF(DOMINGO!$B:$B,$A112))</f>
        <v>0</v>
      </c>
      <c r="M112" s="96" t="str">
        <f>IF($A112="V000415",VLOOKUP($A112,BOLETIN!B:F,5,0),IFERROR(IFERROR(VLOOKUP($A112,CONSOLIDADO!$A:$D,4,0),VLOOKUP($A112,BOLETIN!$B:$F,5,0)),""))</f>
        <v/>
      </c>
    </row>
    <row r="113" spans="1:14" x14ac:dyDescent="0.2">
      <c r="A113" s="95" t="str">
        <f>IF($B113="","",VLOOKUP(TRIM($B113),NSN!$A:$B,2,FALSE))</f>
        <v>V000625</v>
      </c>
      <c r="B113" s="336" t="s">
        <v>81</v>
      </c>
      <c r="C113" s="403">
        <v>1500</v>
      </c>
      <c r="D113" s="338"/>
      <c r="E113" s="338" t="s">
        <v>112</v>
      </c>
      <c r="F113" s="339">
        <v>130</v>
      </c>
      <c r="G113" s="339">
        <v>0.92200000000000004</v>
      </c>
      <c r="H113" s="339">
        <f>27/100</f>
        <v>0.27</v>
      </c>
      <c r="I113" s="339">
        <f>0.9/100</f>
        <v>9.0000000000000011E-3</v>
      </c>
      <c r="J113" s="339">
        <f>0.2/100</f>
        <v>2E-3</v>
      </c>
      <c r="K113" s="339">
        <f>6.4/100</f>
        <v>6.4000000000000001E-2</v>
      </c>
      <c r="L113" s="549">
        <f>IF($A113="","",COUNTIF(LUNES!$B:$B,$A113)+COUNTIF(MARTES!$B:$B,$A113)+COUNTIF(MIERCOLES!$B:$B,$A113)+COUNTIF(JUEVES!$B:$B,$A113)+COUNTIF(VIERNES!$B:$B,$A113)+COUNTIF(SABADO!$B:$B,$A113)+COUNTIF(DOMINGO!$B:$B,$A113))</f>
        <v>0</v>
      </c>
      <c r="M113" s="96" t="str">
        <f>IF($A113="V000415",VLOOKUP($A113,BOLETIN!B:F,5,0),IFERROR(IFERROR(VLOOKUP($A113,CONSOLIDADO!$A:$D,4,0),VLOOKUP($A113,BOLETIN!$B:$F,5,0)),""))</f>
        <v/>
      </c>
    </row>
    <row r="114" spans="1:14" x14ac:dyDescent="0.2">
      <c r="A114" s="95" t="str">
        <f>IF($B114="","",VLOOKUP(TRIM($B114),NSN!$A:$B,2,FALSE))</f>
        <v>V000207</v>
      </c>
      <c r="B114" s="336" t="s">
        <v>25</v>
      </c>
      <c r="C114" s="544">
        <v>2488</v>
      </c>
      <c r="D114" s="338" t="s">
        <v>9</v>
      </c>
      <c r="E114" s="338" t="s">
        <v>15</v>
      </c>
      <c r="F114" s="339">
        <v>1000</v>
      </c>
      <c r="G114" s="339">
        <v>1</v>
      </c>
      <c r="H114" s="339">
        <f>133/100</f>
        <v>1.33</v>
      </c>
      <c r="I114" s="339">
        <f>1.8/100</f>
        <v>1.8000000000000002E-2</v>
      </c>
      <c r="J114" s="339">
        <f>2.8/100</f>
        <v>2.7999999999999997E-2</v>
      </c>
      <c r="K114" s="339">
        <f>25.1/100</f>
        <v>0.251</v>
      </c>
      <c r="L114" s="549">
        <f>IF($A114="","",COUNTIF(LUNES!$B:$B,$A114)+COUNTIF(MARTES!$B:$B,$A114)+COUNTIF(MIERCOLES!$B:$B,$A114)+COUNTIF(JUEVES!$B:$B,$A114)+COUNTIF(VIERNES!$B:$B,$A114)+COUNTIF(SABADO!$B:$B,$A114)+COUNTIF(DOMINGO!$B:$B,$A114))</f>
        <v>1</v>
      </c>
      <c r="M114" s="96">
        <f>IF($A114="V000415",VLOOKUP($A114,BOLETIN!B:F,5,0),IFERROR(IFERROR(VLOOKUP($A114,CONSOLIDADO!$A:$D,4,0),VLOOKUP($A114,BOLETIN!$B:$F,5,0)),""))</f>
        <v>2488</v>
      </c>
    </row>
    <row r="115" spans="1:14" x14ac:dyDescent="0.2">
      <c r="A115" s="95" t="str">
        <f>IF($B115="","",VLOOKUP(TRIM($B115),NSN!$A:$B,2,FALSE))</f>
        <v>C903240</v>
      </c>
      <c r="B115" s="336" t="s">
        <v>66</v>
      </c>
      <c r="C115" s="544">
        <v>2021</v>
      </c>
      <c r="D115" s="338"/>
      <c r="E115" s="338" t="s">
        <v>15</v>
      </c>
      <c r="F115" s="339">
        <v>1000</v>
      </c>
      <c r="G115" s="339">
        <v>1</v>
      </c>
      <c r="H115" s="339">
        <f>139/100</f>
        <v>1.39</v>
      </c>
      <c r="I115" s="339">
        <f>3.5/100</f>
        <v>3.5000000000000003E-2</v>
      </c>
      <c r="J115" s="339">
        <f>0.4/100</f>
        <v>4.0000000000000001E-3</v>
      </c>
      <c r="K115" s="339">
        <f>30.4/100</f>
        <v>0.30399999999999999</v>
      </c>
      <c r="L115" s="549">
        <f>IF($A115="","",COUNTIF(LUNES!$B:$B,$A115)+COUNTIF(MARTES!$B:$B,$A115)+COUNTIF(MIERCOLES!$B:$B,$A115)+COUNTIF(JUEVES!$B:$B,$A115)+COUNTIF(VIERNES!$B:$B,$A115)+COUNTIF(SABADO!$B:$B,$A115)+COUNTIF(DOMINGO!$B:$B,$A115))</f>
        <v>1</v>
      </c>
      <c r="M115" s="96">
        <f>IF($A115="V000415",VLOOKUP($A115,BOLETIN!B:F,5,0),IFERROR(IFERROR(VLOOKUP($A115,CONSOLIDADO!$A:$D,4,0),VLOOKUP($A115,BOLETIN!$B:$F,5,0)),""))</f>
        <v>2021</v>
      </c>
    </row>
    <row r="116" spans="1:14" x14ac:dyDescent="0.2">
      <c r="A116" s="95" t="str">
        <f>IF($B116="","",VLOOKUP(TRIM($B116),NSN!$A:$B,2,FALSE))</f>
        <v>V000210</v>
      </c>
      <c r="B116" s="336" t="s">
        <v>153</v>
      </c>
      <c r="C116" s="544">
        <v>1417</v>
      </c>
      <c r="D116" s="338"/>
      <c r="E116" s="338" t="s">
        <v>15</v>
      </c>
      <c r="F116" s="339">
        <v>1000</v>
      </c>
      <c r="G116" s="339">
        <v>0.86799999999999999</v>
      </c>
      <c r="H116" s="339">
        <f>40/100</f>
        <v>0.4</v>
      </c>
      <c r="I116" s="339">
        <f>0.7/100</f>
        <v>6.9999999999999993E-3</v>
      </c>
      <c r="J116" s="339">
        <f>0.3/100</f>
        <v>3.0000000000000001E-3</v>
      </c>
      <c r="K116" s="339">
        <f>8.7/100</f>
        <v>8.6999999999999994E-2</v>
      </c>
      <c r="L116" s="549">
        <f>IF($A116="","",COUNTIF(LUNES!$B:$B,$A116)+COUNTIF(MARTES!$B:$B,$A116)+COUNTIF(MIERCOLES!$B:$B,$A116)+COUNTIF(JUEVES!$B:$B,$A116)+COUNTIF(VIERNES!$B:$B,$A116)+COUNTIF(SABADO!$B:$B,$A116)+COUNTIF(DOMINGO!$B:$B,$A116))</f>
        <v>0</v>
      </c>
      <c r="M116" s="96">
        <f>IF($A116="V000415",VLOOKUP($A116,BOLETIN!B:F,5,0),IFERROR(IFERROR(VLOOKUP($A116,CONSOLIDADO!$A:$D,4,0),VLOOKUP($A116,BOLETIN!$B:$F,5,0)),""))</f>
        <v>1417</v>
      </c>
    </row>
    <row r="117" spans="1:14" x14ac:dyDescent="0.2">
      <c r="A117" s="95" t="str">
        <f>IF($B117="","",VLOOKUP(TRIM($B117),NSN!$A:$B,2,FALSE))</f>
        <v>V000211</v>
      </c>
      <c r="B117" s="336" t="s">
        <v>179</v>
      </c>
      <c r="C117" s="544">
        <v>11200</v>
      </c>
      <c r="D117" s="338"/>
      <c r="E117" s="338" t="s">
        <v>15</v>
      </c>
      <c r="F117" s="339">
        <v>1000</v>
      </c>
      <c r="G117" s="339">
        <v>1</v>
      </c>
      <c r="H117" s="339">
        <f>595/100</f>
        <v>5.95</v>
      </c>
      <c r="I117" s="339">
        <f>12.8/100</f>
        <v>0.128</v>
      </c>
      <c r="J117" s="339">
        <f>50.1/100</f>
        <v>0.501</v>
      </c>
      <c r="K117" s="339">
        <f>23.1/100</f>
        <v>0.23100000000000001</v>
      </c>
      <c r="L117" s="549">
        <f>IF($A117="","",COUNTIF(LUNES!$B:$B,$A117)+COUNTIF(MARTES!$B:$B,$A117)+COUNTIF(MIERCOLES!$B:$B,$A117)+COUNTIF(JUEVES!$B:$B,$A117)+COUNTIF(VIERNES!$B:$B,$A117)+COUNTIF(SABADO!$B:$B,$A117)+COUNTIF(DOMINGO!$B:$B,$A117))</f>
        <v>0</v>
      </c>
      <c r="M117" s="96">
        <f>IF($A117="V000415",VLOOKUP($A117,BOLETIN!B:F,5,0),IFERROR(IFERROR(VLOOKUP($A117,CONSOLIDADO!$A:$D,4,0),VLOOKUP($A117,BOLETIN!$B:$F,5,0)),""))</f>
        <v>11200</v>
      </c>
    </row>
    <row r="118" spans="1:14" x14ac:dyDescent="0.2">
      <c r="A118" s="95" t="str">
        <f>IF($B118="","",VLOOKUP(TRIM($B118),NSN!$A:$B,2,FALSE))</f>
        <v>V000214</v>
      </c>
      <c r="B118" s="336" t="s">
        <v>38</v>
      </c>
      <c r="C118" s="544">
        <v>7058</v>
      </c>
      <c r="D118" s="338"/>
      <c r="E118" s="338" t="s">
        <v>15</v>
      </c>
      <c r="F118" s="339">
        <v>1000</v>
      </c>
      <c r="G118" s="339">
        <v>1</v>
      </c>
      <c r="H118" s="339">
        <f>82/100</f>
        <v>0.82</v>
      </c>
      <c r="I118" s="339">
        <f>1.1/100</f>
        <v>1.1000000000000001E-2</v>
      </c>
      <c r="J118" s="339">
        <f>3.9/100</f>
        <v>3.9E-2</v>
      </c>
      <c r="K118" s="339">
        <f>10.7/100</f>
        <v>0.107</v>
      </c>
      <c r="L118" s="549">
        <f>IF($A118="","",COUNTIF(LUNES!$B:$B,$A118)+COUNTIF(MARTES!$B:$B,$A118)+COUNTIF(MIERCOLES!$B:$B,$A118)+COUNTIF(JUEVES!$B:$B,$A118)+COUNTIF(VIERNES!$B:$B,$A118)+COUNTIF(SABADO!$B:$B,$A118)+COUNTIF(DOMINGO!$B:$B,$A118))</f>
        <v>3</v>
      </c>
      <c r="M118" s="96">
        <f>IF($A118="V000415",VLOOKUP($A118,BOLETIN!B:F,5,0),IFERROR(IFERROR(VLOOKUP($A118,CONSOLIDADO!$A:$D,4,0),VLOOKUP($A118,BOLETIN!$B:$F,5,0)),""))</f>
        <v>7058</v>
      </c>
      <c r="N118" s="335" t="s">
        <v>170</v>
      </c>
    </row>
    <row r="119" spans="1:14" x14ac:dyDescent="0.2">
      <c r="A119" s="95" t="str">
        <f>IF($B119="","",VLOOKUP(TRIM($B119),NSN!$A:$B,2,FALSE))</f>
        <v>C903327</v>
      </c>
      <c r="B119" s="336" t="s">
        <v>353</v>
      </c>
      <c r="C119" s="398" t="s">
        <v>1958</v>
      </c>
      <c r="D119" s="338"/>
      <c r="E119" s="338" t="s">
        <v>263</v>
      </c>
      <c r="F119" s="339">
        <v>800</v>
      </c>
      <c r="G119" s="339">
        <v>1</v>
      </c>
      <c r="H119" s="339">
        <f>16/100</f>
        <v>0.16</v>
      </c>
      <c r="I119" s="339">
        <f>2.24/100</f>
        <v>2.2400000000000003E-2</v>
      </c>
      <c r="J119" s="339">
        <f>0.32/100</f>
        <v>3.2000000000000002E-3</v>
      </c>
      <c r="K119" s="339">
        <f>1.28/100</f>
        <v>1.2800000000000001E-2</v>
      </c>
      <c r="L119" s="549"/>
      <c r="M119" s="96" t="str">
        <f>IF($A119="V000415",VLOOKUP($A119,BOLETIN!B:F,5,0),IFERROR(IFERROR(VLOOKUP($A119,CONSOLIDADO!$A:$D,4,0),VLOOKUP($A119,BOLETIN!$B:$F,5,0)),""))</f>
        <v>SIN STOCK</v>
      </c>
    </row>
    <row r="120" spans="1:14" x14ac:dyDescent="0.2">
      <c r="A120" s="95" t="str">
        <f>IF($B120="","",VLOOKUP(TRIM($B120),NSN!$A:$B,2,FALSE))</f>
        <v>V000216</v>
      </c>
      <c r="B120" s="336" t="s">
        <v>623</v>
      </c>
      <c r="C120" s="544">
        <v>2145</v>
      </c>
      <c r="D120" s="338"/>
      <c r="E120" s="338" t="s">
        <v>263</v>
      </c>
      <c r="F120" s="339">
        <v>800</v>
      </c>
      <c r="G120" s="339">
        <v>1</v>
      </c>
      <c r="H120" s="339">
        <f>16/100</f>
        <v>0.16</v>
      </c>
      <c r="I120" s="339">
        <f>2.24/100</f>
        <v>2.2400000000000003E-2</v>
      </c>
      <c r="J120" s="339">
        <f>0.32/100</f>
        <v>3.2000000000000002E-3</v>
      </c>
      <c r="K120" s="339">
        <f>1.28/100</f>
        <v>1.2800000000000001E-2</v>
      </c>
      <c r="L120" s="549">
        <f>IF($A120="","",COUNTIF(LUNES!$B:$B,$A120)+COUNTIF(MARTES!$B:$B,$A120)+COUNTIF(MIERCOLES!$B:$B,$A120)+COUNTIF(JUEVES!$B:$B,$A120)+COUNTIF(VIERNES!$B:$B,$A120)+COUNTIF(SABADO!$B:$B,$A120)+COUNTIF(DOMINGO!$B:$B,$A120))</f>
        <v>0</v>
      </c>
      <c r="M120" s="96">
        <f>IF($A120="V000415",VLOOKUP($A120,BOLETIN!B:F,5,0),IFERROR(IFERROR(VLOOKUP($A120,CONSOLIDADO!$A:$D,4,0),VLOOKUP($A120,BOLETIN!$B:$F,5,0)),""))</f>
        <v>2145</v>
      </c>
    </row>
    <row r="121" spans="1:14" x14ac:dyDescent="0.2">
      <c r="A121" s="95" t="str">
        <f>IF($B121="","",VLOOKUP(TRIM($B121),NSN!$A:$B,2,FALSE))</f>
        <v>V000217</v>
      </c>
      <c r="B121" s="336" t="s">
        <v>154</v>
      </c>
      <c r="C121" s="544">
        <v>4610</v>
      </c>
      <c r="D121" s="338"/>
      <c r="E121" s="338" t="s">
        <v>15</v>
      </c>
      <c r="F121" s="339">
        <v>1000</v>
      </c>
      <c r="G121" s="339">
        <v>0.73199999999999998</v>
      </c>
      <c r="H121" s="339">
        <f>195/100</f>
        <v>1.95</v>
      </c>
      <c r="I121" s="339">
        <f>1.3/100</f>
        <v>1.3000000000000001E-2</v>
      </c>
      <c r="J121" s="339">
        <f>18.6/100</f>
        <v>0.18600000000000003</v>
      </c>
      <c r="K121" s="339">
        <f>5.5/100</f>
        <v>5.5E-2</v>
      </c>
      <c r="L121" s="549">
        <f>IF($A121="","",COUNTIF(LUNES!$B:$B,$A121)+COUNTIF(MARTES!$B:$B,$A121)+COUNTIF(MIERCOLES!$B:$B,$A121)+COUNTIF(JUEVES!$B:$B,$A121)+COUNTIF(VIERNES!$B:$B,$A121)+COUNTIF(SABADO!$B:$B,$A121)+COUNTIF(DOMINGO!$B:$B,$A121))</f>
        <v>0</v>
      </c>
      <c r="M121" s="96">
        <f>IF($A121="V000415",VLOOKUP($A121,BOLETIN!B:F,5,0),IFERROR(IFERROR(VLOOKUP($A121,CONSOLIDADO!$A:$D,4,0),VLOOKUP($A121,BOLETIN!$B:$F,5,0)),""))</f>
        <v>4610</v>
      </c>
    </row>
    <row r="122" spans="1:14" x14ac:dyDescent="0.2">
      <c r="A122" s="95" t="str">
        <f>IF($B122="","",VLOOKUP(TRIM($B122),NSN!$A:$B,2,FALSE))</f>
        <v>V000415</v>
      </c>
      <c r="B122" s="336" t="s">
        <v>13</v>
      </c>
      <c r="C122" s="544">
        <v>1783</v>
      </c>
      <c r="D122" s="338"/>
      <c r="E122" s="338" t="s">
        <v>15</v>
      </c>
      <c r="F122" s="339">
        <v>1000</v>
      </c>
      <c r="G122" s="339">
        <v>1</v>
      </c>
      <c r="H122" s="339">
        <f>315/100</f>
        <v>3.15</v>
      </c>
      <c r="I122" s="339">
        <f>8.2/100</f>
        <v>8.199999999999999E-2</v>
      </c>
      <c r="J122" s="339">
        <f>4/100</f>
        <v>0.04</v>
      </c>
      <c r="K122" s="339">
        <f>61.6/100</f>
        <v>0.61599999999999999</v>
      </c>
      <c r="L122" s="549">
        <f>IF($A122="","",COUNTIF(LUNES!$B:$B,$A122)+COUNTIF(MARTES!$B:$B,$A122)+COUNTIF(MIERCOLES!$B:$B,$A122)+COUNTIF(JUEVES!$B:$B,$A122)+COUNTIF(VIERNES!$B:$B,$A122)+COUNTIF(SABADO!$B:$B,$A122)+COUNTIF(DOMINGO!$B:$B,$A122))</f>
        <v>22</v>
      </c>
      <c r="M122" s="96">
        <f>IF($A122="V000415",VLOOKUP($A122,BOLETIN!B:F,5,0),IFERROR(IFERROR(VLOOKUP($A122,CONSOLIDADO!$A:$D,4,0),VLOOKUP($A122,BOLETIN!$B:$F,5,0)),""))</f>
        <v>1783</v>
      </c>
    </row>
    <row r="123" spans="1:14" x14ac:dyDescent="0.2">
      <c r="A123" s="95" t="str">
        <f>IF($B123="","",VLOOKUP(TRIM($B123),NSN!$A:$B,2,FALSE))</f>
        <v>C000801</v>
      </c>
      <c r="B123" s="336" t="s">
        <v>624</v>
      </c>
      <c r="C123" s="544">
        <v>674</v>
      </c>
      <c r="D123" s="338"/>
      <c r="E123" s="338" t="s">
        <v>15</v>
      </c>
      <c r="F123" s="339">
        <v>1000</v>
      </c>
      <c r="G123" s="339">
        <v>0.78700000000000003</v>
      </c>
      <c r="H123" s="339">
        <f>80/100</f>
        <v>0.8</v>
      </c>
      <c r="I123" s="339">
        <f>3.1/100</f>
        <v>3.1E-2</v>
      </c>
      <c r="J123" s="339">
        <f>0.2/100</f>
        <v>2E-3</v>
      </c>
      <c r="K123" s="339">
        <f>16.5/100</f>
        <v>0.16500000000000001</v>
      </c>
      <c r="L123" s="549">
        <f>IF($A123="","",COUNTIF(LUNES!$B:$B,$A123)+COUNTIF(MARTES!$B:$B,$A123)+COUNTIF(MIERCOLES!$B:$B,$A123)+COUNTIF(JUEVES!$B:$B,$A123)+COUNTIF(VIERNES!$B:$B,$A123)+COUNTIF(SABADO!$B:$B,$A123)+COUNTIF(DOMINGO!$B:$B,$A123))</f>
        <v>5</v>
      </c>
      <c r="M123" s="96">
        <f>IF($A123="V000415",VLOOKUP($A123,BOLETIN!B:F,5,0),IFERROR(IFERROR(VLOOKUP($A123,CONSOLIDADO!$A:$D,4,0),VLOOKUP($A123,BOLETIN!$B:$F,5,0)),""))</f>
        <v>674</v>
      </c>
    </row>
    <row r="124" spans="1:14" x14ac:dyDescent="0.2">
      <c r="A124" s="95" t="str">
        <f>IF($B124="","",VLOOKUP(TRIM($B124),NSN!$A:$B,2,FALSE))</f>
        <v>C903293</v>
      </c>
      <c r="B124" s="336" t="s">
        <v>417</v>
      </c>
      <c r="C124" s="544">
        <v>1874</v>
      </c>
      <c r="D124" s="338"/>
      <c r="E124" s="338" t="s">
        <v>15</v>
      </c>
      <c r="F124" s="339">
        <v>1000</v>
      </c>
      <c r="G124" s="339">
        <v>1</v>
      </c>
      <c r="H124" s="339">
        <f>138/100</f>
        <v>1.38</v>
      </c>
      <c r="I124" s="339">
        <f>2.3/100</f>
        <v>2.3E-2</v>
      </c>
      <c r="J124" s="339">
        <f>3.9/100</f>
        <v>3.9E-2</v>
      </c>
      <c r="K124" s="339">
        <f>22/100</f>
        <v>0.22</v>
      </c>
      <c r="L124" s="549">
        <f>IF($A124="","",COUNTIF(LUNES!$B:$B,$A124)+COUNTIF(MARTES!$B:$B,$A124)+COUNTIF(MIERCOLES!$B:$B,$A124)+COUNTIF(JUEVES!$B:$B,$A124)+COUNTIF(VIERNES!$B:$B,$A124)+COUNTIF(SABADO!$B:$B,$A124)+COUNTIF(DOMINGO!$B:$B,$A124))</f>
        <v>1</v>
      </c>
      <c r="M124" s="96">
        <f>IF($A124="V000415",VLOOKUP($A124,BOLETIN!B:F,5,0),IFERROR(IFERROR(VLOOKUP($A124,CONSOLIDADO!$A:$D,4,0),VLOOKUP($A124,BOLETIN!$B:$F,5,0)),""))</f>
        <v>1874</v>
      </c>
    </row>
    <row r="125" spans="1:14" x14ac:dyDescent="0.2">
      <c r="A125" s="95" t="str">
        <f>IF($B125="","",VLOOKUP(TRIM($B125),NSN!$A:$B,2,FALSE))</f>
        <v>V000222</v>
      </c>
      <c r="B125" s="336" t="s">
        <v>27</v>
      </c>
      <c r="C125" s="544">
        <v>6545</v>
      </c>
      <c r="D125" s="338"/>
      <c r="E125" s="338" t="s">
        <v>15</v>
      </c>
      <c r="F125" s="339">
        <v>1000</v>
      </c>
      <c r="G125" s="339">
        <v>1</v>
      </c>
      <c r="H125" s="339">
        <f>288/100</f>
        <v>2.88</v>
      </c>
      <c r="I125" s="339">
        <f>1.8/100</f>
        <v>1.8000000000000002E-2</v>
      </c>
      <c r="J125" s="339">
        <f>0.6/100</f>
        <v>6.0000000000000001E-3</v>
      </c>
      <c r="K125" s="339">
        <f>68.9/100</f>
        <v>0.68900000000000006</v>
      </c>
      <c r="L125" s="549">
        <f>IF($A125="","",COUNTIF(LUNES!$B:$B,$A125)+COUNTIF(MARTES!$B:$B,$A125)+COUNTIF(MIERCOLES!$B:$B,$A125)+COUNTIF(JUEVES!$B:$B,$A125)+COUNTIF(VIERNES!$B:$B,$A125)+COUNTIF(SABADO!$B:$B,$A125)+COUNTIF(DOMINGO!$B:$B,$A125))</f>
        <v>0</v>
      </c>
      <c r="M125" s="96">
        <f>IF($A125="V000415",VLOOKUP($A125,BOLETIN!B:F,5,0),IFERROR(IFERROR(VLOOKUP($A125,CONSOLIDADO!$A:$D,4,0),VLOOKUP($A125,BOLETIN!$B:$F,5,0)),""))</f>
        <v>6545</v>
      </c>
    </row>
    <row r="126" spans="1:14" x14ac:dyDescent="0.2">
      <c r="A126" s="95" t="str">
        <f>IF($B126="","",VLOOKUP(TRIM($B126),NSN!$A:$B,2,FALSE))</f>
        <v>V000899</v>
      </c>
      <c r="B126" s="336" t="s">
        <v>651</v>
      </c>
      <c r="C126" s="544">
        <v>3399</v>
      </c>
      <c r="D126" s="350"/>
      <c r="E126" s="350" t="s">
        <v>15</v>
      </c>
      <c r="F126" s="348">
        <v>1000</v>
      </c>
      <c r="G126" s="348">
        <v>1</v>
      </c>
      <c r="H126" s="339">
        <f>102/100</f>
        <v>1.02</v>
      </c>
      <c r="I126" s="339">
        <f>3.9/100</f>
        <v>3.9E-2</v>
      </c>
      <c r="J126" s="339">
        <f>1.1/100</f>
        <v>1.1000000000000001E-2</v>
      </c>
      <c r="K126" s="339">
        <f>19/100</f>
        <v>0.19</v>
      </c>
      <c r="L126" s="549">
        <f>IF($A126="","",COUNTIF(LUNES!$B:$B,$A126)+COUNTIF(MARTES!$B:$B,$A126)+COUNTIF(MIERCOLES!$B:$B,$A126)+COUNTIF(JUEVES!$B:$B,$A126)+COUNTIF(VIERNES!$B:$B,$A126)+COUNTIF(SABADO!$B:$B,$A126)+COUNTIF(DOMINGO!$B:$B,$A126))</f>
        <v>0</v>
      </c>
      <c r="M126" s="96">
        <f>IF($A126="V000415",VLOOKUP($A126,BOLETIN!B:F,5,0),IFERROR(IFERROR(VLOOKUP($A126,CONSOLIDADO!$A:$D,4,0),VLOOKUP($A126,BOLETIN!$B:$F,5,0)),""))</f>
        <v>3399</v>
      </c>
    </row>
    <row r="127" spans="1:14" x14ac:dyDescent="0.2">
      <c r="A127" s="95" t="str">
        <f>IF($B127="","",VLOOKUP(TRIM($B127),NSN!$A:$B,2,FALSE))</f>
        <v>C903328</v>
      </c>
      <c r="B127" s="336" t="s">
        <v>418</v>
      </c>
      <c r="C127" s="377" t="s">
        <v>1958</v>
      </c>
      <c r="D127" s="350"/>
      <c r="E127" s="350" t="s">
        <v>15</v>
      </c>
      <c r="F127" s="348">
        <v>1000</v>
      </c>
      <c r="G127" s="348">
        <v>0.73699999999999999</v>
      </c>
      <c r="H127" s="339">
        <f>130/100</f>
        <v>1.3</v>
      </c>
      <c r="I127" s="339">
        <f>13.1/100</f>
        <v>0.13100000000000001</v>
      </c>
      <c r="J127" s="339">
        <f>6/100</f>
        <v>0.06</v>
      </c>
      <c r="K127" s="339">
        <f>0/100</f>
        <v>0</v>
      </c>
      <c r="L127" s="549">
        <f>IF($A127="","",COUNTIF(LUNES!$B:$B,$A127)+COUNTIF(MARTES!$B:$B,$A127)+COUNTIF(MIERCOLES!$B:$B,$A127)+COUNTIF(JUEVES!$B:$B,$A127)+COUNTIF(VIERNES!$B:$B,$A127)+COUNTIF(SABADO!$B:$B,$A127)+COUNTIF(DOMINGO!$B:$B,$A127))</f>
        <v>0</v>
      </c>
      <c r="M127" s="96" t="str">
        <f>IF($A127="V000415",VLOOKUP($A127,BOLETIN!B:F,5,0),IFERROR(IFERROR(VLOOKUP($A127,CONSOLIDADO!$A:$D,4,0),VLOOKUP($A127,BOLETIN!$B:$F,5,0)),""))</f>
        <v/>
      </c>
    </row>
    <row r="128" spans="1:14" x14ac:dyDescent="0.2">
      <c r="A128" s="95" t="str">
        <f>IF($B128="","",VLOOKUP(TRIM($B128),NSN!$A:$B,2,FALSE))</f>
        <v>C008040</v>
      </c>
      <c r="B128" s="336" t="s">
        <v>419</v>
      </c>
      <c r="C128" s="403" t="s">
        <v>1958</v>
      </c>
      <c r="D128" s="338"/>
      <c r="E128" s="338" t="s">
        <v>15</v>
      </c>
      <c r="F128" s="339">
        <v>1000</v>
      </c>
      <c r="G128" s="339">
        <v>0.73699999999999999</v>
      </c>
      <c r="H128" s="339">
        <f>123/100</f>
        <v>1.23</v>
      </c>
      <c r="I128" s="339">
        <f>22/100</f>
        <v>0.22</v>
      </c>
      <c r="J128" s="339">
        <f>3.3/100</f>
        <v>3.3000000000000002E-2</v>
      </c>
      <c r="K128" s="339">
        <f>1.2/100</f>
        <v>1.2E-2</v>
      </c>
      <c r="L128" s="549">
        <f>IF($A128="","",COUNTIF(LUNES!$B:$B,$A128)+COUNTIF(MARTES!$B:$B,$A128)+COUNTIF(MIERCOLES!$B:$B,$A128)+COUNTIF(JUEVES!$B:$B,$A128)+COUNTIF(VIERNES!$B:$B,$A128)+COUNTIF(SABADO!$B:$B,$A128)+COUNTIF(DOMINGO!$B:$B,$A128))</f>
        <v>0</v>
      </c>
      <c r="M128" s="96" t="str">
        <f>IF($A128="V000415",VLOOKUP($A128,BOLETIN!B:F,5,0),IFERROR(IFERROR(VLOOKUP($A128,CONSOLIDADO!$A:$D,4,0),VLOOKUP($A128,BOLETIN!$B:$F,5,0)),""))</f>
        <v/>
      </c>
    </row>
    <row r="129" spans="1:14" x14ac:dyDescent="0.2">
      <c r="A129" s="95" t="str">
        <f>IF($B129="","",VLOOKUP(TRIM($B129),NSN!$A:$B,2,FALSE))</f>
        <v>C903424</v>
      </c>
      <c r="B129" s="336" t="s">
        <v>1951</v>
      </c>
      <c r="C129" s="377" t="s">
        <v>1958</v>
      </c>
      <c r="D129" s="338"/>
      <c r="E129" s="338" t="s">
        <v>15</v>
      </c>
      <c r="F129" s="339">
        <v>1000</v>
      </c>
      <c r="G129" s="339">
        <v>0.61</v>
      </c>
      <c r="H129" s="339">
        <f>123/100</f>
        <v>1.23</v>
      </c>
      <c r="I129" s="339">
        <f>22/100</f>
        <v>0.22</v>
      </c>
      <c r="J129" s="339">
        <f>3.3/100</f>
        <v>3.3000000000000002E-2</v>
      </c>
      <c r="K129" s="339">
        <f>1.2/100</f>
        <v>1.2E-2</v>
      </c>
      <c r="L129" s="549">
        <f>IF($A129="","",COUNTIF(LUNES!$B:$B,$A129)+COUNTIF(MARTES!$B:$B,$A129)+COUNTIF(MIERCOLES!$B:$B,$A129)+COUNTIF(JUEVES!$B:$B,$A129)+COUNTIF(VIERNES!$B:$B,$A129)+COUNTIF(SABADO!$B:$B,$A129)+COUNTIF(DOMINGO!$B:$B,$A129))</f>
        <v>0</v>
      </c>
      <c r="M129" s="96" t="str">
        <f>IF($A129="V000415",VLOOKUP($A129,BOLETIN!B:F,5,0),IFERROR(IFERROR(VLOOKUP($A129,CONSOLIDADO!$A:$D,4,0),VLOOKUP($A129,BOLETIN!$B:$F,5,0)),""))</f>
        <v/>
      </c>
    </row>
    <row r="130" spans="1:14" x14ac:dyDescent="0.2">
      <c r="A130" s="95" t="str">
        <f>IF($B130="","",VLOOKUP(TRIM($B130),NSN!$A:$B,2,FALSE))</f>
        <v>V000229</v>
      </c>
      <c r="B130" s="336" t="s">
        <v>156</v>
      </c>
      <c r="C130" s="544">
        <v>736</v>
      </c>
      <c r="D130" s="338"/>
      <c r="E130" s="338" t="s">
        <v>1956</v>
      </c>
      <c r="F130" s="339">
        <v>400</v>
      </c>
      <c r="G130" s="339">
        <v>0.96699999999999997</v>
      </c>
      <c r="H130" s="339">
        <f>13/100</f>
        <v>0.13</v>
      </c>
      <c r="I130" s="339">
        <f>0.8/100</f>
        <v>8.0000000000000002E-3</v>
      </c>
      <c r="J130" s="339">
        <f>0.2/100</f>
        <v>2E-3</v>
      </c>
      <c r="K130" s="339">
        <f>2.1/100</f>
        <v>2.1000000000000001E-2</v>
      </c>
      <c r="L130" s="549">
        <f>IF($A130="","",COUNTIF(LUNES!$B:$B,$A130)+COUNTIF(MARTES!$B:$B,$A130)+COUNTIF(MIERCOLES!$B:$B,$A130)+COUNTIF(JUEVES!$B:$B,$A130)+COUNTIF(VIERNES!$B:$B,$A130)+COUNTIF(SABADO!$B:$B,$A130)+COUNTIF(DOMINGO!$B:$B,$A130))</f>
        <v>1</v>
      </c>
      <c r="M130" s="96">
        <f>IF($A130="V000415",VLOOKUP($A130,BOLETIN!B:F,5,0),IFERROR(IFERROR(VLOOKUP($A130,CONSOLIDADO!$A:$D,4,0),VLOOKUP($A130,BOLETIN!$B:$F,5,0)),""))</f>
        <v>736</v>
      </c>
    </row>
    <row r="131" spans="1:14" x14ac:dyDescent="0.2">
      <c r="A131" s="95" t="str">
        <f>IF($B131="","",VLOOKUP(TRIM($B131),NSN!$A:$B,2,FALSE))</f>
        <v>V000230</v>
      </c>
      <c r="B131" s="336" t="s">
        <v>121</v>
      </c>
      <c r="C131" s="544">
        <v>1518</v>
      </c>
      <c r="D131" s="338"/>
      <c r="E131" s="338" t="s">
        <v>15</v>
      </c>
      <c r="F131" s="339">
        <v>1000</v>
      </c>
      <c r="G131" s="339">
        <v>0.85599999999999998</v>
      </c>
      <c r="H131" s="339">
        <f>55/100</f>
        <v>0.55000000000000004</v>
      </c>
      <c r="I131" s="339">
        <f>0.3/100</f>
        <v>3.0000000000000001E-3</v>
      </c>
      <c r="J131" s="339">
        <f>0.4/100</f>
        <v>4.0000000000000001E-3</v>
      </c>
      <c r="K131" s="339">
        <f>12.6/100</f>
        <v>0.126</v>
      </c>
      <c r="L131" s="549">
        <f>IF($A131="","",COUNTIF(LUNES!$B:$B,$A131)+COUNTIF(MARTES!$B:$B,$A131)+COUNTIF(MIERCOLES!$B:$B,$A131)+COUNTIF(JUEVES!$B:$B,$A131)+COUNTIF(VIERNES!$B:$B,$A131)+COUNTIF(SABADO!$B:$B,$A131)+COUNTIF(DOMINGO!$B:$B,$A131))</f>
        <v>0</v>
      </c>
      <c r="M131" s="96">
        <f>IF($A131="V000415",VLOOKUP($A131,BOLETIN!B:F,5,0),IFERROR(IFERROR(VLOOKUP($A131,CONSOLIDADO!$A:$D,4,0),VLOOKUP($A131,BOLETIN!$B:$F,5,0)),""))</f>
        <v>1518</v>
      </c>
    </row>
    <row r="132" spans="1:14" x14ac:dyDescent="0.2">
      <c r="A132" s="95" t="str">
        <f>IF($B132="","",VLOOKUP(TRIM($B132),NSN!$A:$B,2,FALSE))</f>
        <v>V000231</v>
      </c>
      <c r="B132" s="336" t="s">
        <v>14</v>
      </c>
      <c r="C132" s="544">
        <v>774</v>
      </c>
      <c r="D132" s="338"/>
      <c r="E132" s="338" t="s">
        <v>113</v>
      </c>
      <c r="F132" s="339">
        <v>200</v>
      </c>
      <c r="G132" s="339">
        <v>0.877</v>
      </c>
      <c r="H132" s="339">
        <f>59/100</f>
        <v>0.59</v>
      </c>
      <c r="I132" s="339">
        <f>3.1/100</f>
        <v>3.1E-2</v>
      </c>
      <c r="J132" s="339">
        <f>0.6/100</f>
        <v>6.0000000000000001E-3</v>
      </c>
      <c r="K132" s="339">
        <f>10.3/100</f>
        <v>0.10300000000000001</v>
      </c>
      <c r="L132" s="549">
        <f>IF($A132="","",COUNTIF(LUNES!$B:$B,$A132)+COUNTIF(MARTES!$B:$B,$A132)+COUNTIF(MIERCOLES!$B:$B,$A132)+COUNTIF(JUEVES!$B:$B,$A132)+COUNTIF(VIERNES!$B:$B,$A132)+COUNTIF(SABADO!$B:$B,$A132)+COUNTIF(DOMINGO!$B:$B,$A132))</f>
        <v>5</v>
      </c>
      <c r="M132" s="96">
        <f>IF($A132="V000415",VLOOKUP($A132,BOLETIN!B:F,5,0),IFERROR(IFERROR(VLOOKUP($A132,CONSOLIDADO!$A:$D,4,0),VLOOKUP($A132,BOLETIN!$B:$F,5,0)),""))</f>
        <v>774</v>
      </c>
    </row>
    <row r="133" spans="1:14" x14ac:dyDescent="0.2">
      <c r="A133" s="95" t="str">
        <f>IF($B133="","",VLOOKUP(TRIM($B133),NSN!$A:$B,2,FALSE))</f>
        <v>C902839</v>
      </c>
      <c r="B133" s="336" t="s">
        <v>197</v>
      </c>
      <c r="C133" s="377" t="s">
        <v>1958</v>
      </c>
      <c r="D133" s="338"/>
      <c r="E133" s="338" t="s">
        <v>15</v>
      </c>
      <c r="F133" s="339">
        <v>1000</v>
      </c>
      <c r="G133" s="339">
        <v>0.68200000000000005</v>
      </c>
      <c r="H133" s="341">
        <f>187/100</f>
        <v>1.87</v>
      </c>
      <c r="I133" s="341">
        <f>17.2/100</f>
        <v>0.17199999999999999</v>
      </c>
      <c r="J133" s="341">
        <f>12.9/100</f>
        <v>0.129</v>
      </c>
      <c r="K133" s="341">
        <f>0.6/100</f>
        <v>6.0000000000000001E-3</v>
      </c>
      <c r="L133" s="549">
        <f>IF($A133="","",COUNTIF(LUNES!$B:$B,$A133)+COUNTIF(MARTES!$B:$B,$A133)+COUNTIF(MIERCOLES!$B:$B,$A133)+COUNTIF(JUEVES!$B:$B,$A133)+COUNTIF(VIERNES!$B:$B,$A133)+COUNTIF(SABADO!$B:$B,$A133)+COUNTIF(DOMINGO!$B:$B,$A133))</f>
        <v>0</v>
      </c>
      <c r="M133" s="96" t="str">
        <f>IF($A133="V000415",VLOOKUP($A133,BOLETIN!B:F,5,0),IFERROR(IFERROR(VLOOKUP($A133,CONSOLIDADO!$A:$D,4,0),VLOOKUP($A133,BOLETIN!$B:$F,5,0)),""))</f>
        <v/>
      </c>
    </row>
    <row r="134" spans="1:14" x14ac:dyDescent="0.2">
      <c r="A134" s="95" t="str">
        <f>IF($B134="","",VLOOKUP(TRIM($B134),NSN!$A:$B,2,FALSE))</f>
        <v>C903005</v>
      </c>
      <c r="B134" s="363" t="s">
        <v>1998</v>
      </c>
      <c r="C134" s="544">
        <v>5115</v>
      </c>
      <c r="D134" s="338"/>
      <c r="E134" s="338" t="s">
        <v>15</v>
      </c>
      <c r="F134" s="339">
        <v>1000</v>
      </c>
      <c r="G134" s="339">
        <v>1</v>
      </c>
      <c r="H134" s="341">
        <f>169/100</f>
        <v>1.69</v>
      </c>
      <c r="I134" s="341">
        <f>11/100</f>
        <v>0.11</v>
      </c>
      <c r="J134" s="341">
        <f>7/100</f>
        <v>7.0000000000000007E-2</v>
      </c>
      <c r="K134" s="341">
        <f>11/100</f>
        <v>0.11</v>
      </c>
      <c r="L134" s="549">
        <f>IF($A134="","",COUNTIF(LUNES!$B:$B,$A134)+COUNTIF(MARTES!$B:$B,$A134)+COUNTIF(MIERCOLES!$B:$B,$A134)+COUNTIF(JUEVES!$B:$B,$A134)+COUNTIF(VIERNES!$B:$B,$A134)+COUNTIF(SABADO!$B:$B,$A134)+COUNTIF(DOMINGO!$B:$B,$A134))</f>
        <v>1</v>
      </c>
      <c r="M134" s="96">
        <f>IF($A134="V000415",VLOOKUP($A134,BOLETIN!B:F,5,0),IFERROR(IFERROR(VLOOKUP($A134,CONSOLIDADO!$A:$D,4,0),VLOOKUP($A134,BOLETIN!$B:$F,5,0)),""))</f>
        <v>5115</v>
      </c>
    </row>
    <row r="135" spans="1:14" x14ac:dyDescent="0.2">
      <c r="A135" s="95" t="str">
        <f>IF($B135="","",VLOOKUP(TRIM($B135),NSN!$A:$B,2,FALSE))</f>
        <v>C903330</v>
      </c>
      <c r="B135" s="336" t="s">
        <v>358</v>
      </c>
      <c r="C135" s="377" t="s">
        <v>1958</v>
      </c>
      <c r="D135" s="338"/>
      <c r="E135" s="338" t="s">
        <v>15</v>
      </c>
      <c r="F135" s="339">
        <v>1000</v>
      </c>
      <c r="G135" s="339">
        <v>0.78900000000000003</v>
      </c>
      <c r="H135" s="341">
        <f>68.5/100</f>
        <v>0.68500000000000005</v>
      </c>
      <c r="I135" s="341">
        <f>16.8/100</f>
        <v>0.16800000000000001</v>
      </c>
      <c r="J135" s="341">
        <f>0.1/100</f>
        <v>1E-3</v>
      </c>
      <c r="K135" s="341">
        <f>0.1/100</f>
        <v>1E-3</v>
      </c>
      <c r="L135" s="549">
        <f>IF($A135="","",COUNTIF(LUNES!$B:$B,$A135)+COUNTIF(MARTES!$B:$B,$A135)+COUNTIF(MIERCOLES!$B:$B,$A135)+COUNTIF(JUEVES!$B:$B,$A135)+COUNTIF(VIERNES!$B:$B,$A135)+COUNTIF(SABADO!$B:$B,$A135)+COUNTIF(DOMINGO!$B:$B,$A135))</f>
        <v>0</v>
      </c>
      <c r="M135" s="96" t="str">
        <f>IF($A135="V000415",VLOOKUP($A135,BOLETIN!B:F,5,0),IFERROR(IFERROR(VLOOKUP($A135,CONSOLIDADO!$A:$D,4,0),VLOOKUP($A135,BOLETIN!$B:$F,5,0)),""))</f>
        <v/>
      </c>
    </row>
    <row r="136" spans="1:14" x14ac:dyDescent="0.2">
      <c r="A136" s="95" t="str">
        <f>IF($B136="","",VLOOKUP(TRIM($B136),NSN!$A:$B,2,FALSE))</f>
        <v>C902529</v>
      </c>
      <c r="B136" s="336" t="s">
        <v>420</v>
      </c>
      <c r="C136" s="403">
        <v>4000</v>
      </c>
      <c r="D136" s="338"/>
      <c r="E136" s="338" t="s">
        <v>15</v>
      </c>
      <c r="F136" s="339">
        <v>1000</v>
      </c>
      <c r="G136" s="339">
        <v>0.78900000000000003</v>
      </c>
      <c r="H136" s="341">
        <f>74/100</f>
        <v>0.74</v>
      </c>
      <c r="I136" s="341">
        <f>17.3/100</f>
        <v>0.17300000000000001</v>
      </c>
      <c r="J136" s="341">
        <f>0.4/100</f>
        <v>4.0000000000000001E-3</v>
      </c>
      <c r="K136" s="341">
        <f>0.3/100</f>
        <v>3.0000000000000001E-3</v>
      </c>
      <c r="L136" s="549">
        <f>IF($A136="","",COUNTIF(LUNES!$B:$B,$A136)+COUNTIF(MARTES!$B:$B,$A136)+COUNTIF(MIERCOLES!$B:$B,$A136)+COUNTIF(JUEVES!$B:$B,$A136)+COUNTIF(VIERNES!$B:$B,$A136)+COUNTIF(SABADO!$B:$B,$A136)+COUNTIF(DOMINGO!$B:$B,$A136))</f>
        <v>0</v>
      </c>
      <c r="M136" s="96" t="str">
        <f>IF($A136="V000415",VLOOKUP($A136,BOLETIN!B:F,5,0),IFERROR(IFERROR(VLOOKUP($A136,CONSOLIDADO!$A:$D,4,0),VLOOKUP($A136,BOLETIN!$B:$F,5,0)),""))</f>
        <v/>
      </c>
    </row>
    <row r="137" spans="1:14" x14ac:dyDescent="0.2">
      <c r="A137" s="95" t="str">
        <f>IF($B137="","",VLOOKUP(TRIM($B137),NSN!$A:$B,2,FALSE))</f>
        <v>C000087</v>
      </c>
      <c r="B137" s="336" t="s">
        <v>294</v>
      </c>
      <c r="C137" s="377">
        <v>6100</v>
      </c>
      <c r="D137" s="338"/>
      <c r="E137" s="338" t="s">
        <v>15</v>
      </c>
      <c r="F137" s="339">
        <v>1000</v>
      </c>
      <c r="G137" s="339">
        <v>0.754</v>
      </c>
      <c r="H137" s="341">
        <f>105/100</f>
        <v>1.05</v>
      </c>
      <c r="I137" s="341">
        <f>19.3/100</f>
        <v>0.193</v>
      </c>
      <c r="J137" s="341">
        <f>2.7/100</f>
        <v>2.7000000000000003E-2</v>
      </c>
      <c r="K137" s="341">
        <f>0.9/100</f>
        <v>9.0000000000000011E-3</v>
      </c>
      <c r="L137" s="549">
        <f>IF($A137="","",COUNTIF(LUNES!$B:$B,$A137)+COUNTIF(MARTES!$B:$B,$A137)+COUNTIF(MIERCOLES!$B:$B,$A137)+COUNTIF(JUEVES!$B:$B,$A137)+COUNTIF(VIERNES!$B:$B,$A137)+COUNTIF(SABADO!$B:$B,$A137)+COUNTIF(DOMINGO!$B:$B,$A137))</f>
        <v>0</v>
      </c>
      <c r="M137" s="96" t="str">
        <f>IF($A137="V000415",VLOOKUP($A137,BOLETIN!B:F,5,0),IFERROR(IFERROR(VLOOKUP($A137,CONSOLIDADO!$A:$D,4,0),VLOOKUP($A137,BOLETIN!$B:$F,5,0)),""))</f>
        <v/>
      </c>
      <c r="N137" s="380">
        <v>6100</v>
      </c>
    </row>
    <row r="138" spans="1:14" x14ac:dyDescent="0.2">
      <c r="A138" s="95" t="str">
        <f>IF($B138="","",VLOOKUP(TRIM($B138),NSN!$A:$B,2,FALSE))</f>
        <v>C902735</v>
      </c>
      <c r="B138" s="336" t="s">
        <v>421</v>
      </c>
      <c r="C138" s="377" t="s">
        <v>1958</v>
      </c>
      <c r="D138" s="338"/>
      <c r="E138" s="338" t="s">
        <v>15</v>
      </c>
      <c r="F138" s="339">
        <v>1000</v>
      </c>
      <c r="G138" s="339">
        <v>0.71299999999999997</v>
      </c>
      <c r="H138" s="339">
        <f>143/100</f>
        <v>1.43</v>
      </c>
      <c r="I138" s="339">
        <f>21.6/100</f>
        <v>0.21600000000000003</v>
      </c>
      <c r="J138" s="339">
        <f>4.7/100</f>
        <v>4.7E-2</v>
      </c>
      <c r="K138" s="339">
        <f>3.6/100</f>
        <v>3.6000000000000004E-2</v>
      </c>
      <c r="L138" s="549">
        <f>IF($A138="","",COUNTIF(LUNES!$B:$B,$A138)+COUNTIF(MARTES!$B:$B,$A138)+COUNTIF(MIERCOLES!$B:$B,$A138)+COUNTIF(JUEVES!$B:$B,$A138)+COUNTIF(VIERNES!$B:$B,$A138)+COUNTIF(SABADO!$B:$B,$A138)+COUNTIF(DOMINGO!$B:$B,$A138))</f>
        <v>0</v>
      </c>
      <c r="M138" s="96" t="str">
        <f>IF($A138="V000415",VLOOKUP($A138,BOLETIN!B:F,5,0),IFERROR(IFERROR(VLOOKUP($A138,CONSOLIDADO!$A:$D,4,0),VLOOKUP($A138,BOLETIN!$B:$F,5,0)),""))</f>
        <v/>
      </c>
      <c r="N138" s="335" t="s">
        <v>272</v>
      </c>
    </row>
    <row r="139" spans="1:14" x14ac:dyDescent="0.2">
      <c r="A139" s="95" t="str">
        <f>IF($B139="","",VLOOKUP(TRIM($B139),NSN!$A:$B,2,FALSE))</f>
        <v>V000233</v>
      </c>
      <c r="B139" s="336" t="s">
        <v>261</v>
      </c>
      <c r="C139" s="96">
        <v>5516</v>
      </c>
      <c r="D139" s="338"/>
      <c r="E139" s="338" t="s">
        <v>15</v>
      </c>
      <c r="F139" s="339">
        <v>1000</v>
      </c>
      <c r="G139" s="339">
        <v>1</v>
      </c>
      <c r="H139" s="339">
        <f>369/100</f>
        <v>3.69</v>
      </c>
      <c r="I139" s="339">
        <f>5.1/100</f>
        <v>5.0999999999999997E-2</v>
      </c>
      <c r="J139" s="339">
        <f>13.4/100</f>
        <v>0.13400000000000001</v>
      </c>
      <c r="K139" s="339">
        <f>57/100</f>
        <v>0.56999999999999995</v>
      </c>
      <c r="L139" s="549">
        <f>IF($A139="","",COUNTIF(LUNES!$B:$B,$A139)+COUNTIF(MARTES!$B:$B,$A139)+COUNTIF(MIERCOLES!$B:$B,$A139)+COUNTIF(JUEVES!$B:$B,$A139)+COUNTIF(VIERNES!$B:$B,$A139)+COUNTIF(SABADO!$B:$B,$A139)+COUNTIF(DOMINGO!$B:$B,$A139))</f>
        <v>0</v>
      </c>
      <c r="M139" s="96" t="str">
        <f>IF($A139="V000415",VLOOKUP($A139,BOLETIN!B:F,5,0),IFERROR(IFERROR(VLOOKUP($A139,CONSOLIDADO!$A:$D,4,0),VLOOKUP($A139,BOLETIN!$B:$F,5,0)),""))</f>
        <v/>
      </c>
    </row>
    <row r="140" spans="1:14" x14ac:dyDescent="0.2">
      <c r="A140" s="95" t="str">
        <f>IF($B140="","",VLOOKUP(TRIM($B140),NSN!$A:$B,2,FALSE))</f>
        <v>V000236</v>
      </c>
      <c r="B140" s="336" t="s">
        <v>234</v>
      </c>
      <c r="C140" s="544">
        <v>1401</v>
      </c>
      <c r="D140" s="338"/>
      <c r="E140" s="338" t="s">
        <v>236</v>
      </c>
      <c r="F140" s="339">
        <v>130</v>
      </c>
      <c r="G140" s="339">
        <v>0.93899999999999995</v>
      </c>
      <c r="H140" s="339">
        <f>27/100</f>
        <v>0.27</v>
      </c>
      <c r="I140" s="339">
        <f>0.9/100</f>
        <v>9.0000000000000011E-3</v>
      </c>
      <c r="J140" s="339">
        <f>0.2/100</f>
        <v>2E-3</v>
      </c>
      <c r="K140" s="339">
        <f>6.4/100</f>
        <v>6.4000000000000001E-2</v>
      </c>
      <c r="L140" s="549">
        <f>IF($A140="","",COUNTIF(LUNES!$B:$B,$A140)+COUNTIF(MARTES!$B:$B,$A140)+COUNTIF(MIERCOLES!$B:$B,$A140)+COUNTIF(JUEVES!$B:$B,$A140)+COUNTIF(VIERNES!$B:$B,$A140)+COUNTIF(SABADO!$B:$B,$A140)+COUNTIF(DOMINGO!$B:$B,$A140))</f>
        <v>0</v>
      </c>
      <c r="M140" s="96">
        <f>IF($A140="V000415",VLOOKUP($A140,BOLETIN!B:F,5,0),IFERROR(IFERROR(VLOOKUP($A140,CONSOLIDADO!$A:$D,4,0),VLOOKUP($A140,BOLETIN!$B:$F,5,0)),""))</f>
        <v>1401</v>
      </c>
    </row>
    <row r="141" spans="1:14" x14ac:dyDescent="0.2">
      <c r="A141" s="95" t="str">
        <f>IF($B141="","",VLOOKUP(TRIM($B141),NSN!$A:$B,2,FALSE))</f>
        <v>V000764</v>
      </c>
      <c r="B141" s="336" t="s">
        <v>652</v>
      </c>
      <c r="C141" s="544">
        <v>10056</v>
      </c>
      <c r="D141" s="338"/>
      <c r="E141" s="338" t="s">
        <v>15</v>
      </c>
      <c r="F141" s="339">
        <v>1000</v>
      </c>
      <c r="G141" s="339">
        <v>1</v>
      </c>
      <c r="H141" s="339">
        <f>360/100</f>
        <v>3.6</v>
      </c>
      <c r="I141" s="339">
        <f>8.4/100</f>
        <v>8.4000000000000005E-2</v>
      </c>
      <c r="J141" s="339">
        <f>8/100</f>
        <v>0.08</v>
      </c>
      <c r="K141" s="339">
        <f>63.5/100</f>
        <v>0.63500000000000001</v>
      </c>
      <c r="L141" s="549">
        <f>IF($A141="","",COUNTIF(LUNES!$B:$B,$A141)+COUNTIF(MARTES!$B:$B,$A141)+COUNTIF(MIERCOLES!$B:$B,$A141)+COUNTIF(JUEVES!$B:$B,$A141)+COUNTIF(VIERNES!$B:$B,$A141)+COUNTIF(SABADO!$B:$B,$A141)+COUNTIF(DOMINGO!$B:$B,$A141))</f>
        <v>1</v>
      </c>
      <c r="M141" s="96">
        <f>IF($A141="V000415",VLOOKUP($A141,BOLETIN!B:F,5,0),IFERROR(IFERROR(VLOOKUP($A141,CONSOLIDADO!$A:$D,4,0),VLOOKUP($A141,BOLETIN!$B:$F,5,0)),""))</f>
        <v>10056</v>
      </c>
    </row>
    <row r="142" spans="1:14" x14ac:dyDescent="0.2">
      <c r="A142" s="95" t="str">
        <f>IF($B142="","",VLOOKUP(TRIM($B142),NSN!$A:$B,2,FALSE))</f>
        <v>C903237</v>
      </c>
      <c r="B142" s="336" t="s">
        <v>307</v>
      </c>
      <c r="C142" s="395">
        <v>6000</v>
      </c>
      <c r="D142" s="338"/>
      <c r="E142" s="338" t="s">
        <v>281</v>
      </c>
      <c r="F142" s="339">
        <v>3000</v>
      </c>
      <c r="G142" s="339">
        <v>1</v>
      </c>
      <c r="H142" s="339">
        <f>55/100</f>
        <v>0.55000000000000004</v>
      </c>
      <c r="I142" s="339">
        <f>0.6/100</f>
        <v>6.0000000000000001E-3</v>
      </c>
      <c r="J142" s="339">
        <f>0.1/100</f>
        <v>1E-3</v>
      </c>
      <c r="K142" s="339">
        <f>13/100</f>
        <v>0.13</v>
      </c>
      <c r="L142" s="549">
        <f>IF($A142="","",COUNTIF(LUNES!$B:$B,$A142)+COUNTIF(MARTES!$B:$B,$A142)+COUNTIF(MIERCOLES!$B:$B,$A142)+COUNTIF(JUEVES!$B:$B,$A142)+COUNTIF(VIERNES!$B:$B,$A142)+COUNTIF(SABADO!$B:$B,$A142)+COUNTIF(DOMINGO!$B:$B,$A142))</f>
        <v>0</v>
      </c>
      <c r="M142" s="96" t="str">
        <f>IF($A142="V000415",VLOOKUP($A142,BOLETIN!B:F,5,0),IFERROR(IFERROR(VLOOKUP($A142,CONSOLIDADO!$A:$D,4,0),VLOOKUP($A142,BOLETIN!$B:$F,5,0)),""))</f>
        <v/>
      </c>
    </row>
    <row r="143" spans="1:14" x14ac:dyDescent="0.2">
      <c r="A143" s="95" t="str">
        <f>IF($B143="","",VLOOKUP(TRIM($B143),NSN!$A:$B,2,FALSE))</f>
        <v>V000244</v>
      </c>
      <c r="B143" s="336" t="s">
        <v>89</v>
      </c>
      <c r="C143" s="544">
        <v>1693</v>
      </c>
      <c r="D143" s="338"/>
      <c r="E143" s="338" t="s">
        <v>15</v>
      </c>
      <c r="F143" s="339">
        <v>1000</v>
      </c>
      <c r="G143" s="339">
        <v>1</v>
      </c>
      <c r="H143" s="339">
        <f>94/100</f>
        <v>0.94</v>
      </c>
      <c r="I143" s="339">
        <f>1.3/100</f>
        <v>1.3000000000000001E-2</v>
      </c>
      <c r="J143" s="339">
        <f>0.4/100</f>
        <v>4.0000000000000001E-3</v>
      </c>
      <c r="K143" s="339">
        <f>21.3/100</f>
        <v>0.21299999999999999</v>
      </c>
      <c r="L143" s="549">
        <f>IF($A143="","",COUNTIF(LUNES!$B:$B,$A143)+COUNTIF(MARTES!$B:$B,$A143)+COUNTIF(MIERCOLES!$B:$B,$A143)+COUNTIF(JUEVES!$B:$B,$A143)+COUNTIF(VIERNES!$B:$B,$A143)+COUNTIF(SABADO!$B:$B,$A143)+COUNTIF(DOMINGO!$B:$B,$A143))</f>
        <v>1</v>
      </c>
      <c r="M143" s="96">
        <f>IF($A143="V000415",VLOOKUP($A143,BOLETIN!B:F,5,0),IFERROR(IFERROR(VLOOKUP($A143,CONSOLIDADO!$A:$D,4,0),VLOOKUP($A143,BOLETIN!$B:$F,5,0)),""))</f>
        <v>1693</v>
      </c>
    </row>
    <row r="144" spans="1:14" x14ac:dyDescent="0.2">
      <c r="A144" s="95" t="str">
        <f>IF($B144="","",VLOOKUP(TRIM($B144),NSN!$A:$B,2,FALSE))</f>
        <v>C903329</v>
      </c>
      <c r="B144" s="336" t="s">
        <v>356</v>
      </c>
      <c r="C144" s="398" t="s">
        <v>1958</v>
      </c>
      <c r="D144" s="338"/>
      <c r="E144" s="338" t="s">
        <v>15</v>
      </c>
      <c r="F144" s="339">
        <v>1000</v>
      </c>
      <c r="G144" s="339">
        <v>0.72299999999999998</v>
      </c>
      <c r="H144" s="339">
        <f>199/100</f>
        <v>1.99</v>
      </c>
      <c r="I144" s="339">
        <f>22.4/100</f>
        <v>0.22399999999999998</v>
      </c>
      <c r="J144" s="339">
        <f>11.5/100</f>
        <v>0.115</v>
      </c>
      <c r="K144" s="339">
        <f>1.5/100</f>
        <v>1.4999999999999999E-2</v>
      </c>
      <c r="L144" s="549">
        <f>IF($A144="","",COUNTIF(LUNES!$B:$B,$A144)+COUNTIF(MARTES!$B:$B,$A144)+COUNTIF(MIERCOLES!$B:$B,$A144)+COUNTIF(JUEVES!$B:$B,$A144)+COUNTIF(VIERNES!$B:$B,$A144)+COUNTIF(SABADO!$B:$B,$A144)+COUNTIF(DOMINGO!$B:$B,$A144))</f>
        <v>0</v>
      </c>
      <c r="M144" s="96">
        <f>IF($A144="V000415",VLOOKUP($A144,BOLETIN!B:F,5,0),IFERROR(IFERROR(VLOOKUP($A144,CONSOLIDADO!$A:$D,4,0),VLOOKUP($A144,BOLETIN!$B:$F,5,0)),""))</f>
        <v>4165</v>
      </c>
    </row>
    <row r="145" spans="1:14" x14ac:dyDescent="0.2">
      <c r="A145" s="95" t="str">
        <f>IF($B145="","",VLOOKUP(TRIM($B145),NSN!$A:$B,2,FALSE))</f>
        <v>C903555</v>
      </c>
      <c r="B145" s="336" t="s">
        <v>2337</v>
      </c>
      <c r="C145" s="544">
        <v>4165</v>
      </c>
      <c r="D145" s="338"/>
      <c r="E145" s="338" t="s">
        <v>15</v>
      </c>
      <c r="F145" s="339">
        <v>1000</v>
      </c>
      <c r="G145" s="339">
        <v>0.72299999999999998</v>
      </c>
      <c r="H145" s="339">
        <f>199/100</f>
        <v>1.99</v>
      </c>
      <c r="I145" s="339">
        <f>22.4/100</f>
        <v>0.22399999999999998</v>
      </c>
      <c r="J145" s="339">
        <f>11.5/100</f>
        <v>0.115</v>
      </c>
      <c r="K145" s="339">
        <f>1.5/100</f>
        <v>1.4999999999999999E-2</v>
      </c>
      <c r="L145" s="549">
        <f>IF($A145="","",COUNTIF(LUNES!$B:$B,$A145)+COUNTIF(MARTES!$B:$B,$A145)+COUNTIF(MIERCOLES!$B:$B,$A145)+COUNTIF(JUEVES!$B:$B,$A145)+COUNTIF(VIERNES!$B:$B,$A145)+COUNTIF(SABADO!$B:$B,$A145)+COUNTIF(DOMINGO!$B:$B,$A145))</f>
        <v>5</v>
      </c>
      <c r="M145" s="96" t="str">
        <f>IF($A145="V000415",VLOOKUP($A145,BOLETIN!B:F,5,0),IFERROR(IFERROR(VLOOKUP($A145,CONSOLIDADO!$A:$D,4,0),VLOOKUP($A145,BOLETIN!$B:$F,5,0)),""))</f>
        <v/>
      </c>
    </row>
    <row r="146" spans="1:14" x14ac:dyDescent="0.2">
      <c r="A146" s="95" t="str">
        <f>IF($B146="","",VLOOKUP(TRIM($B146),NSN!$A:$B,2,FALSE))</f>
        <v>C008043</v>
      </c>
      <c r="B146" s="336" t="s">
        <v>422</v>
      </c>
      <c r="C146" s="398" t="s">
        <v>1958</v>
      </c>
      <c r="D146" s="338"/>
      <c r="E146" s="338" t="s">
        <v>15</v>
      </c>
      <c r="F146" s="339">
        <v>1000</v>
      </c>
      <c r="G146" s="339">
        <v>0.73199999999999998</v>
      </c>
      <c r="H146" s="339">
        <f>199/100</f>
        <v>1.99</v>
      </c>
      <c r="I146" s="339">
        <f>22.4/100</f>
        <v>0.22399999999999998</v>
      </c>
      <c r="J146" s="339">
        <f>11.5/100</f>
        <v>0.115</v>
      </c>
      <c r="K146" s="339">
        <f>1.5/100</f>
        <v>1.4999999999999999E-2</v>
      </c>
      <c r="L146" s="549">
        <f>IF($A146="","",COUNTIF(LUNES!$B:$B,$A146)+COUNTIF(MARTES!$B:$B,$A146)+COUNTIF(MIERCOLES!$B:$B,$A146)+COUNTIF(JUEVES!$B:$B,$A146)+COUNTIF(VIERNES!$B:$B,$A146)+COUNTIF(SABADO!$B:$B,$A146)+COUNTIF(DOMINGO!$B:$B,$A146))</f>
        <v>0</v>
      </c>
      <c r="M146" s="96">
        <f>IF($A146="V000415",VLOOKUP($A146,BOLETIN!B:F,5,0),IFERROR(IFERROR(VLOOKUP($A146,CONSOLIDADO!$A:$D,4,0),VLOOKUP($A146,BOLETIN!$B:$F,5,0)),""))</f>
        <v>3359</v>
      </c>
    </row>
    <row r="147" spans="1:14" x14ac:dyDescent="0.2">
      <c r="A147" s="95" t="str">
        <f>IF($B147="","",VLOOKUP(TRIM($B147),NSN!$A:$B,2,FALSE))</f>
        <v>C008044</v>
      </c>
      <c r="B147" s="336" t="s">
        <v>97</v>
      </c>
      <c r="C147" s="543">
        <v>2678</v>
      </c>
      <c r="D147" s="338" t="s">
        <v>9</v>
      </c>
      <c r="E147" s="338" t="s">
        <v>15</v>
      </c>
      <c r="F147" s="339">
        <v>1000</v>
      </c>
      <c r="G147" s="339">
        <v>0.65200000000000002</v>
      </c>
      <c r="H147" s="339">
        <f>130/100</f>
        <v>1.3</v>
      </c>
      <c r="I147" s="339">
        <f>22.3/100</f>
        <v>0.223</v>
      </c>
      <c r="J147" s="339">
        <f>3.8/100</f>
        <v>3.7999999999999999E-2</v>
      </c>
      <c r="K147" s="339">
        <f>1.7/100</f>
        <v>1.7000000000000001E-2</v>
      </c>
      <c r="L147" s="549">
        <f>IF($A147="","",COUNTIF(LUNES!$B:$B,$A147)+COUNTIF(MARTES!$B:$B,$A147)+COUNTIF(MIERCOLES!$B:$B,$A147)+COUNTIF(JUEVES!$B:$B,$A147)+COUNTIF(VIERNES!$B:$B,$A147)+COUNTIF(SABADO!$B:$B,$A147)+COUNTIF(DOMINGO!$B:$B,$A147))</f>
        <v>0</v>
      </c>
      <c r="M147" s="96">
        <f>IF($A147="V000415",VLOOKUP($A147,BOLETIN!B:F,5,0),IFERROR(IFERROR(VLOOKUP($A147,CONSOLIDADO!$A:$D,4,0),VLOOKUP($A147,BOLETIN!$B:$F,5,0)),""))</f>
        <v>2678</v>
      </c>
    </row>
    <row r="148" spans="1:14" x14ac:dyDescent="0.2">
      <c r="A148" s="95" t="str">
        <f>IF($B148="","",VLOOKUP(TRIM($B148),NSN!$A:$B,2,FALSE))</f>
        <v>C902736</v>
      </c>
      <c r="B148" s="336" t="s">
        <v>186</v>
      </c>
      <c r="C148" s="543">
        <v>2374</v>
      </c>
      <c r="D148" s="338"/>
      <c r="E148" s="338" t="s">
        <v>15</v>
      </c>
      <c r="F148" s="339">
        <v>1000</v>
      </c>
      <c r="G148" s="339">
        <v>0.65200000000000002</v>
      </c>
      <c r="H148" s="339">
        <f>130/100</f>
        <v>1.3</v>
      </c>
      <c r="I148" s="339">
        <f>22.3/100</f>
        <v>0.223</v>
      </c>
      <c r="J148" s="339">
        <f>3.8/100</f>
        <v>3.7999999999999999E-2</v>
      </c>
      <c r="K148" s="339">
        <f>1.7/100</f>
        <v>1.7000000000000001E-2</v>
      </c>
      <c r="L148" s="549">
        <f>IF($A148="","",COUNTIF(LUNES!$B:$B,$A148)+COUNTIF(MARTES!$B:$B,$A148)+COUNTIF(MIERCOLES!$B:$B,$A148)+COUNTIF(JUEVES!$B:$B,$A148)+COUNTIF(VIERNES!$B:$B,$A148)+COUNTIF(SABADO!$B:$B,$A148)+COUNTIF(DOMINGO!$B:$B,$A148))</f>
        <v>0</v>
      </c>
      <c r="M148" s="96">
        <f>IF($A148="V000415",VLOOKUP($A148,BOLETIN!B:F,5,0),IFERROR(IFERROR(VLOOKUP($A148,CONSOLIDADO!$A:$D,4,0),VLOOKUP($A148,BOLETIN!$B:$F,5,0)),""))</f>
        <v>2374</v>
      </c>
    </row>
    <row r="149" spans="1:14" x14ac:dyDescent="0.2">
      <c r="A149" s="95" t="str">
        <f>IF($B149="","",VLOOKUP(TRIM($B149),NSN!$A:$B,2,FALSE))</f>
        <v>C008045</v>
      </c>
      <c r="B149" s="336" t="s">
        <v>2324</v>
      </c>
      <c r="C149" s="543">
        <v>2500</v>
      </c>
      <c r="D149" s="338"/>
      <c r="E149" s="338" t="s">
        <v>15</v>
      </c>
      <c r="F149" s="339">
        <v>1000</v>
      </c>
      <c r="G149" s="339">
        <v>0.65200000000000002</v>
      </c>
      <c r="H149" s="339">
        <f>130/100</f>
        <v>1.3</v>
      </c>
      <c r="I149" s="339">
        <f>22.3/100</f>
        <v>0.223</v>
      </c>
      <c r="J149" s="339">
        <f>3.8/100</f>
        <v>3.7999999999999999E-2</v>
      </c>
      <c r="K149" s="339">
        <f>1.7/100</f>
        <v>1.7000000000000001E-2</v>
      </c>
      <c r="L149" s="549">
        <f>IF($A149="","",COUNTIF(LUNES!$B:$B,$A149)+COUNTIF(MARTES!$B:$B,$A149)+COUNTIF(MIERCOLES!$B:$B,$A149)+COUNTIF(JUEVES!$B:$B,$A149)+COUNTIF(VIERNES!$B:$B,$A149)+COUNTIF(SABADO!$B:$B,$A149)+COUNTIF(DOMINGO!$B:$B,$A149))</f>
        <v>1</v>
      </c>
      <c r="M149" s="96">
        <f>IF($A149="V000415",VLOOKUP($A149,BOLETIN!B:F,5,0),IFERROR(IFERROR(VLOOKUP($A149,CONSOLIDADO!$A:$D,4,0),VLOOKUP($A149,BOLETIN!$B:$F,5,0)),""))</f>
        <v>2500</v>
      </c>
    </row>
    <row r="150" spans="1:14" x14ac:dyDescent="0.2">
      <c r="A150" s="95" t="str">
        <f>IF($B150="","",VLOOKUP(TRIM($B150),NSN!$A:$B,2,FALSE))</f>
        <v>V000246</v>
      </c>
      <c r="B150" s="336" t="s">
        <v>587</v>
      </c>
      <c r="C150" s="404">
        <v>2170</v>
      </c>
      <c r="D150" s="338"/>
      <c r="E150" s="338" t="s">
        <v>256</v>
      </c>
      <c r="F150" s="339">
        <v>750</v>
      </c>
      <c r="G150" s="339">
        <v>1</v>
      </c>
      <c r="H150" s="339">
        <f>200/100</f>
        <v>2</v>
      </c>
      <c r="I150" s="339">
        <f>0/100</f>
        <v>0</v>
      </c>
      <c r="J150" s="339">
        <f>0/100</f>
        <v>0</v>
      </c>
      <c r="K150" s="339">
        <f>48/100</f>
        <v>0.48</v>
      </c>
      <c r="L150" s="549">
        <f>IF($A150="","",COUNTIF(LUNES!$B:$B,$A150)+COUNTIF(MARTES!$B:$B,$A150)+COUNTIF(MIERCOLES!$B:$B,$A150)+COUNTIF(JUEVES!$B:$B,$A150)+COUNTIF(VIERNES!$B:$B,$A150)+COUNTIF(SABADO!$B:$B,$A150)+COUNTIF(DOMINGO!$B:$B,$A150))</f>
        <v>0</v>
      </c>
      <c r="M150" s="96" t="str">
        <f>IF($A150="V000415",VLOOKUP($A150,BOLETIN!B:F,5,0),IFERROR(IFERROR(VLOOKUP($A150,CONSOLIDADO!$A:$D,4,0),VLOOKUP($A150,BOLETIN!$B:$F,5,0)),""))</f>
        <v/>
      </c>
    </row>
    <row r="151" spans="1:14" x14ac:dyDescent="0.2">
      <c r="A151" s="95" t="str">
        <f>IF($B151="","",VLOOKUP(TRIM($B151),NSN!$A:$B,2,FALSE))</f>
        <v>V000254</v>
      </c>
      <c r="B151" s="336" t="s">
        <v>381</v>
      </c>
      <c r="C151" s="544">
        <v>2645</v>
      </c>
      <c r="D151" s="338" t="s">
        <v>32</v>
      </c>
      <c r="E151" s="338" t="s">
        <v>15</v>
      </c>
      <c r="F151" s="339">
        <v>1000</v>
      </c>
      <c r="G151" s="339">
        <v>1</v>
      </c>
      <c r="H151" s="339">
        <f>31/100</f>
        <v>0.31</v>
      </c>
      <c r="I151" s="339">
        <f>2.3/100</f>
        <v>2.3E-2</v>
      </c>
      <c r="J151" s="339">
        <f>0.3/100</f>
        <v>3.0000000000000001E-3</v>
      </c>
      <c r="K151" s="339">
        <f>4.7/100</f>
        <v>4.7E-2</v>
      </c>
      <c r="L151" s="549">
        <f>IF($A151="","",COUNTIF(LUNES!$B:$B,$A151)+COUNTIF(MARTES!$B:$B,$A151)+COUNTIF(MIERCOLES!$B:$B,$A151)+COUNTIF(JUEVES!$B:$B,$A151)+COUNTIF(VIERNES!$B:$B,$A151)+COUNTIF(SABADO!$B:$B,$A151)+COUNTIF(DOMINGO!$B:$B,$A151))</f>
        <v>1</v>
      </c>
      <c r="M151" s="96">
        <f>IF($A151="V000415",VLOOKUP($A151,BOLETIN!B:F,5,0),IFERROR(IFERROR(VLOOKUP($A151,CONSOLIDADO!$A:$D,4,0),VLOOKUP($A151,BOLETIN!$B:$F,5,0)),""))</f>
        <v>2645</v>
      </c>
    </row>
    <row r="152" spans="1:14" x14ac:dyDescent="0.2">
      <c r="A152" s="95" t="str">
        <f>IF($B152="","",VLOOKUP(TRIM($B152),NSN!$A:$B,2,FALSE))</f>
        <v>C903498</v>
      </c>
      <c r="B152" s="336" t="s">
        <v>1358</v>
      </c>
      <c r="C152" s="543">
        <v>1976</v>
      </c>
      <c r="D152" s="338"/>
      <c r="E152" s="338" t="s">
        <v>15</v>
      </c>
      <c r="F152" s="339">
        <v>1000</v>
      </c>
      <c r="G152" s="339">
        <v>1</v>
      </c>
      <c r="H152" s="339">
        <f>318/100</f>
        <v>3.18</v>
      </c>
      <c r="I152" s="339">
        <f>2.3/100</f>
        <v>2.3E-2</v>
      </c>
      <c r="J152" s="339">
        <f>0.3/100</f>
        <v>3.0000000000000001E-3</v>
      </c>
      <c r="K152" s="339">
        <f>4.7/100</f>
        <v>4.7E-2</v>
      </c>
      <c r="L152" s="549">
        <f>IF($A152="","",COUNTIF(LUNES!$B:$B,$A152)+COUNTIF(MARTES!$B:$B,$A152)+COUNTIF(MIERCOLES!$B:$B,$A152)+COUNTIF(JUEVES!$B:$B,$A152)+COUNTIF(VIERNES!$B:$B,$A152)+COUNTIF(SABADO!$B:$B,$A152)+COUNTIF(DOMINGO!$B:$B,$A152))</f>
        <v>1</v>
      </c>
      <c r="M152" s="96">
        <f>IF($A152="V000415",VLOOKUP($A152,BOLETIN!B:F,5,0),IFERROR(IFERROR(VLOOKUP($A152,CONSOLIDADO!$A:$D,4,0),VLOOKUP($A152,BOLETIN!$B:$F,5,0)),""))</f>
        <v>1976</v>
      </c>
    </row>
    <row r="153" spans="1:14" x14ac:dyDescent="0.2">
      <c r="A153" s="95" t="str">
        <f>IF($B153="","",VLOOKUP(TRIM($B153),NSN!$A:$B,2,FALSE))</f>
        <v>C902854</v>
      </c>
      <c r="B153" s="336" t="s">
        <v>317</v>
      </c>
      <c r="C153" s="544">
        <v>4054</v>
      </c>
      <c r="D153" s="338"/>
      <c r="E153" s="338" t="s">
        <v>15</v>
      </c>
      <c r="F153" s="339">
        <v>1000</v>
      </c>
      <c r="G153" s="339">
        <v>1</v>
      </c>
      <c r="H153" s="339">
        <f>364/100</f>
        <v>3.64</v>
      </c>
      <c r="I153" s="339">
        <f>20.6/100</f>
        <v>0.20600000000000002</v>
      </c>
      <c r="J153" s="339">
        <f>1.2/100</f>
        <v>1.2E-2</v>
      </c>
      <c r="K153" s="339">
        <f>69.4/100</f>
        <v>0.69400000000000006</v>
      </c>
      <c r="L153" s="549">
        <f>IF($A153="","",COUNTIF(LUNES!$B:$B,$A153)+COUNTIF(MARTES!$B:$B,$A153)+COUNTIF(MIERCOLES!$B:$B,$A153)+COUNTIF(JUEVES!$B:$B,$A153)+COUNTIF(VIERNES!$B:$B,$A153)+COUNTIF(SABADO!$B:$B,$A153)+COUNTIF(DOMINGO!$B:$B,$A153))</f>
        <v>5</v>
      </c>
      <c r="M153" s="96">
        <f>IF($A153="V000415",VLOOKUP($A153,BOLETIN!B:F,5,0),IFERROR(IFERROR(VLOOKUP($A153,CONSOLIDADO!$A:$D,4,0),VLOOKUP($A153,BOLETIN!$B:$F,5,0)),""))</f>
        <v>4054</v>
      </c>
    </row>
    <row r="154" spans="1:14" x14ac:dyDescent="0.2">
      <c r="A154" s="95" t="str">
        <f>IF($B154="","",VLOOKUP(TRIM($B154),NSN!$A:$B,2,FALSE))</f>
        <v>C902855</v>
      </c>
      <c r="B154" s="336" t="s">
        <v>318</v>
      </c>
      <c r="C154" s="544">
        <v>4034</v>
      </c>
      <c r="D154" s="338"/>
      <c r="E154" s="338" t="s">
        <v>15</v>
      </c>
      <c r="F154" s="339">
        <v>1000</v>
      </c>
      <c r="G154" s="339">
        <v>1</v>
      </c>
      <c r="H154" s="339">
        <f>364/100</f>
        <v>3.64</v>
      </c>
      <c r="I154" s="339">
        <f>21.7/100</f>
        <v>0.217</v>
      </c>
      <c r="J154" s="339">
        <f>0/100</f>
        <v>0</v>
      </c>
      <c r="K154" s="339">
        <f>56.3/100</f>
        <v>0.56299999999999994</v>
      </c>
      <c r="L154" s="549">
        <f>IF($A154="","",COUNTIF(LUNES!$B:$B,$A154)+COUNTIF(MARTES!$B:$B,$A154)+COUNTIF(MIERCOLES!$B:$B,$A154)+COUNTIF(JUEVES!$B:$B,$A154)+COUNTIF(VIERNES!$B:$B,$A154)+COUNTIF(SABADO!$B:$B,$A154)+COUNTIF(DOMINGO!$B:$B,$A154))</f>
        <v>2</v>
      </c>
      <c r="M154" s="96">
        <f>IF($A154="V000415",VLOOKUP($A154,BOLETIN!B:F,5,0),IFERROR(IFERROR(VLOOKUP($A154,CONSOLIDADO!$A:$D,4,0),VLOOKUP($A154,BOLETIN!$B:$F,5,0)),""))</f>
        <v>4034</v>
      </c>
    </row>
    <row r="155" spans="1:14" x14ac:dyDescent="0.2">
      <c r="A155" s="95" t="str">
        <f>IF($B155="","",VLOOKUP(TRIM($B155),NSN!$A:$B,2,FALSE))</f>
        <v>C903265</v>
      </c>
      <c r="B155" s="336" t="s">
        <v>347</v>
      </c>
      <c r="C155" s="377" t="s">
        <v>1958</v>
      </c>
      <c r="D155" s="338"/>
      <c r="E155" s="338" t="s">
        <v>15</v>
      </c>
      <c r="F155" s="339">
        <v>1000</v>
      </c>
      <c r="G155" s="339">
        <v>1</v>
      </c>
      <c r="H155" s="339">
        <f>190/100</f>
        <v>1.9</v>
      </c>
      <c r="I155" s="339">
        <f>24/100</f>
        <v>0.24</v>
      </c>
      <c r="J155" s="339">
        <f>10/100</f>
        <v>0.1</v>
      </c>
      <c r="K155" s="339">
        <f>1/100</f>
        <v>0.01</v>
      </c>
      <c r="L155" s="549">
        <f>IF($A155="","",COUNTIF(LUNES!$B:$B,$A155)+COUNTIF(MARTES!$B:$B,$A155)+COUNTIF(MIERCOLES!$B:$B,$A155)+COUNTIF(JUEVES!$B:$B,$A155)+COUNTIF(VIERNES!$B:$B,$A155)+COUNTIF(SABADO!$B:$B,$A155)+COUNTIF(DOMINGO!$B:$B,$A155))</f>
        <v>0</v>
      </c>
      <c r="M155" s="96" t="str">
        <f>IF($A155="V000415",VLOOKUP($A155,BOLETIN!B:F,5,0),IFERROR(IFERROR(VLOOKUP($A155,CONSOLIDADO!$A:$D,4,0),VLOOKUP($A155,BOLETIN!$B:$F,5,0)),""))</f>
        <v/>
      </c>
    </row>
    <row r="156" spans="1:14" x14ac:dyDescent="0.2">
      <c r="A156" s="95" t="str">
        <f>IF($B156="","",VLOOKUP(TRIM($B156),NSN!$A:$B,2,FALSE))</f>
        <v>C903266</v>
      </c>
      <c r="B156" s="336" t="s">
        <v>349</v>
      </c>
      <c r="C156" s="377" t="s">
        <v>1958</v>
      </c>
      <c r="D156" s="338"/>
      <c r="E156" s="338" t="s">
        <v>15</v>
      </c>
      <c r="F156" s="339">
        <v>1000</v>
      </c>
      <c r="G156" s="339">
        <v>1</v>
      </c>
      <c r="H156" s="339">
        <f>120/100</f>
        <v>1.2</v>
      </c>
      <c r="I156" s="339">
        <f>21/100</f>
        <v>0.21</v>
      </c>
      <c r="J156" s="339">
        <v>0.04</v>
      </c>
      <c r="K156" s="339">
        <f>1/100</f>
        <v>0.01</v>
      </c>
      <c r="L156" s="549">
        <f>IF($A156="","",COUNTIF(LUNES!$B:$B,$A156)+COUNTIF(MARTES!$B:$B,$A156)+COUNTIF(MIERCOLES!$B:$B,$A156)+COUNTIF(JUEVES!$B:$B,$A156)+COUNTIF(VIERNES!$B:$B,$A156)+COUNTIF(SABADO!$B:$B,$A156)+COUNTIF(DOMINGO!$B:$B,$A156))</f>
        <v>0</v>
      </c>
      <c r="M156" s="96" t="str">
        <f>IF($A156="V000415",VLOOKUP($A156,BOLETIN!B:F,5,0),IFERROR(IFERROR(VLOOKUP($A156,CONSOLIDADO!$A:$D,4,0),VLOOKUP($A156,BOLETIN!$B:$F,5,0)),""))</f>
        <v/>
      </c>
    </row>
    <row r="157" spans="1:14" x14ac:dyDescent="0.2">
      <c r="A157" s="95" t="str">
        <f>IF($B157="","",VLOOKUP(TRIM($B157),NSN!$A:$B,2,FALSE))</f>
        <v>C903264</v>
      </c>
      <c r="B157" s="336" t="s">
        <v>345</v>
      </c>
      <c r="C157" s="398" t="s">
        <v>1958</v>
      </c>
      <c r="D157" s="338"/>
      <c r="E157" s="338" t="s">
        <v>15</v>
      </c>
      <c r="F157" s="339">
        <v>1000</v>
      </c>
      <c r="G157" s="339">
        <v>1</v>
      </c>
      <c r="H157" s="339">
        <v>1.2</v>
      </c>
      <c r="I157" s="339">
        <v>0.23</v>
      </c>
      <c r="J157" s="339">
        <f>2.5/100</f>
        <v>2.5000000000000001E-2</v>
      </c>
      <c r="K157" s="339">
        <f>0.5/100</f>
        <v>5.0000000000000001E-3</v>
      </c>
      <c r="L157" s="549">
        <f>IF($A157="","",COUNTIF(LUNES!$B:$B,$A157)+COUNTIF(MARTES!$B:$B,$A157)+COUNTIF(MIERCOLES!$B:$B,$A157)+COUNTIF(JUEVES!$B:$B,$A157)+COUNTIF(VIERNES!$B:$B,$A157)+COUNTIF(SABADO!$B:$B,$A157)+COUNTIF(DOMINGO!$B:$B,$A157))</f>
        <v>0</v>
      </c>
      <c r="M157" s="96">
        <f>IF($A157="V000415",VLOOKUP($A157,BOLETIN!B:F,5,0),IFERROR(IFERROR(VLOOKUP($A157,CONSOLIDADO!$A:$D,4,0),VLOOKUP($A157,BOLETIN!$B:$F,5,0)),""))</f>
        <v>6000</v>
      </c>
    </row>
    <row r="158" spans="1:14" x14ac:dyDescent="0.2">
      <c r="A158" s="95" t="str">
        <f>IF($B158="","",VLOOKUP(TRIM($B158),NSN!$A:$B,2,FALSE))</f>
        <v>C903267</v>
      </c>
      <c r="B158" s="336" t="s">
        <v>351</v>
      </c>
      <c r="C158" s="398" t="s">
        <v>1958</v>
      </c>
      <c r="D158" s="338"/>
      <c r="E158" s="338" t="s">
        <v>15</v>
      </c>
      <c r="F158" s="339">
        <v>1000</v>
      </c>
      <c r="G158" s="339">
        <v>1</v>
      </c>
      <c r="H158" s="339">
        <f>122/100</f>
        <v>1.22</v>
      </c>
      <c r="I158" s="339">
        <f>22/100</f>
        <v>0.22</v>
      </c>
      <c r="J158" s="339">
        <v>0.04</v>
      </c>
      <c r="K158" s="339">
        <v>0.01</v>
      </c>
      <c r="L158" s="549">
        <f>IF($A158="","",COUNTIF(LUNES!$B:$B,$A158)+COUNTIF(MARTES!$B:$B,$A158)+COUNTIF(MIERCOLES!$B:$B,$A158)+COUNTIF(JUEVES!$B:$B,$A158)+COUNTIF(VIERNES!$B:$B,$A158)+COUNTIF(SABADO!$B:$B,$A158)+COUNTIF(DOMINGO!$B:$B,$A158))</f>
        <v>0</v>
      </c>
      <c r="M158" s="96" t="str">
        <f>IF($A158="V000415",VLOOKUP($A158,BOLETIN!B:F,5,0),IFERROR(IFERROR(VLOOKUP($A158,CONSOLIDADO!$A:$D,4,0),VLOOKUP($A158,BOLETIN!$B:$F,5,0)),""))</f>
        <v/>
      </c>
    </row>
    <row r="159" spans="1:14" x14ac:dyDescent="0.2">
      <c r="A159" s="95" t="str">
        <f>IF($B159="","",VLOOKUP(TRIM($B159),NSN!$A:$B,2,FALSE))</f>
        <v>C902685</v>
      </c>
      <c r="B159" s="336" t="s">
        <v>423</v>
      </c>
      <c r="C159" s="544">
        <v>1858</v>
      </c>
      <c r="D159" s="338"/>
      <c r="E159" s="338" t="s">
        <v>15</v>
      </c>
      <c r="F159" s="339">
        <v>1000</v>
      </c>
      <c r="G159" s="339">
        <v>1</v>
      </c>
      <c r="H159" s="339">
        <f>91/100</f>
        <v>0.91</v>
      </c>
      <c r="I159" s="339">
        <f>3.29/100</f>
        <v>3.2899999999999999E-2</v>
      </c>
      <c r="J159" s="339">
        <f>0.35/100</f>
        <v>3.4999999999999996E-3</v>
      </c>
      <c r="K159" s="339">
        <f>12.23/100</f>
        <v>0.12230000000000001</v>
      </c>
      <c r="L159" s="549">
        <f>IF($A159="","",COUNTIF(LUNES!$B:$B,$A159)+COUNTIF(MARTES!$B:$B,$A159)+COUNTIF(MIERCOLES!$B:$B,$A159)+COUNTIF(JUEVES!$B:$B,$A159)+COUNTIF(VIERNES!$B:$B,$A159)+COUNTIF(SABADO!$B:$B,$A159)+COUNTIF(DOMINGO!$B:$B,$A159))</f>
        <v>2</v>
      </c>
      <c r="M159" s="96">
        <f>IF($A159="V000415",VLOOKUP($A159,BOLETIN!B:F,5,0),IFERROR(IFERROR(VLOOKUP($A159,CONSOLIDADO!$A:$D,4,0),VLOOKUP($A159,BOLETIN!$B:$F,5,0)),""))</f>
        <v>1858</v>
      </c>
    </row>
    <row r="160" spans="1:14" x14ac:dyDescent="0.2">
      <c r="A160" s="95" t="str">
        <f>IF($B160="","",VLOOKUP(TRIM($B160),NSN!$A:$B,2,FALSE))</f>
        <v>C902418</v>
      </c>
      <c r="B160" s="336" t="s">
        <v>424</v>
      </c>
      <c r="C160" s="544">
        <v>4993</v>
      </c>
      <c r="D160" s="338"/>
      <c r="E160" s="338" t="s">
        <v>15</v>
      </c>
      <c r="F160" s="339">
        <v>1000</v>
      </c>
      <c r="G160" s="339">
        <v>1</v>
      </c>
      <c r="H160" s="339">
        <f>348/100</f>
        <v>3.48</v>
      </c>
      <c r="I160" s="339">
        <f>6.4/100</f>
        <v>6.4000000000000001E-2</v>
      </c>
      <c r="J160" s="339">
        <f>1/100</f>
        <v>0.01</v>
      </c>
      <c r="K160" s="339">
        <f>78.2/100</f>
        <v>0.78200000000000003</v>
      </c>
      <c r="L160" s="549">
        <f>IF($A160="","",COUNTIF(LUNES!$B:$B,$A160)+COUNTIF(MARTES!$B:$B,$A160)+COUNTIF(MIERCOLES!$B:$B,$A160)+COUNTIF(JUEVES!$B:$B,$A160)+COUNTIF(VIERNES!$B:$B,$A160)+COUNTIF(SABADO!$B:$B,$A160)+COUNTIF(DOMINGO!$B:$B,$A160))</f>
        <v>1</v>
      </c>
      <c r="M160" s="96">
        <f>IF($A160="V000415",VLOOKUP($A160,BOLETIN!B:F,5,0),IFERROR(IFERROR(VLOOKUP($A160,CONSOLIDADO!$A:$D,4,0),VLOOKUP($A160,BOLETIN!$B:$F,5,0)),""))</f>
        <v>4993</v>
      </c>
      <c r="N160" s="335" t="s">
        <v>171</v>
      </c>
    </row>
    <row r="161" spans="1:14" x14ac:dyDescent="0.2">
      <c r="A161" s="95" t="str">
        <f>IF($B161="","",VLOOKUP(TRIM($B161),NSN!$A:$B,2,FALSE))</f>
        <v>V000262</v>
      </c>
      <c r="B161" s="336" t="s">
        <v>158</v>
      </c>
      <c r="C161" s="544">
        <v>2309</v>
      </c>
      <c r="D161" s="338"/>
      <c r="E161" s="338" t="s">
        <v>254</v>
      </c>
      <c r="F161" s="339">
        <v>320</v>
      </c>
      <c r="G161" s="339">
        <v>1</v>
      </c>
      <c r="H161" s="339">
        <f>108/100</f>
        <v>1.08</v>
      </c>
      <c r="I161" s="339">
        <f>16.4/100</f>
        <v>0.16399999999999998</v>
      </c>
      <c r="J161" s="339">
        <f>3.3/100</f>
        <v>3.3000000000000002E-2</v>
      </c>
      <c r="K161" s="339">
        <f>3.1/100</f>
        <v>3.1E-2</v>
      </c>
      <c r="L161" s="549">
        <f>IF($A161="","",COUNTIF(LUNES!$B:$B,$A161)+COUNTIF(MARTES!$B:$B,$A161)+COUNTIF(MIERCOLES!$B:$B,$A161)+COUNTIF(JUEVES!$B:$B,$A161)+COUNTIF(VIERNES!$B:$B,$A161)+COUNTIF(SABADO!$B:$B,$A161)+COUNTIF(DOMINGO!$B:$B,$A161))</f>
        <v>1</v>
      </c>
      <c r="M161" s="96">
        <f>IF($A161="V000415",VLOOKUP($A161,BOLETIN!B:F,5,0),IFERROR(IFERROR(VLOOKUP($A161,CONSOLIDADO!$A:$D,4,0),VLOOKUP($A161,BOLETIN!$B:$F,5,0)),""))</f>
        <v>2309</v>
      </c>
    </row>
    <row r="162" spans="1:14" x14ac:dyDescent="0.2">
      <c r="A162" s="95" t="str">
        <f>IF($B162="","",VLOOKUP(TRIM($B162),NSN!$A:$B,2,FALSE))</f>
        <v>V000272</v>
      </c>
      <c r="B162" s="336" t="s">
        <v>100</v>
      </c>
      <c r="C162" s="544">
        <v>7291</v>
      </c>
      <c r="D162" s="338"/>
      <c r="E162" s="338" t="s">
        <v>15</v>
      </c>
      <c r="F162" s="339">
        <v>1000</v>
      </c>
      <c r="G162" s="339">
        <v>1</v>
      </c>
      <c r="H162" s="339">
        <f>351/100</f>
        <v>3.51</v>
      </c>
      <c r="I162" s="339">
        <f>24.9/100</f>
        <v>0.249</v>
      </c>
      <c r="J162" s="339">
        <f>25.6/100</f>
        <v>0.25600000000000001</v>
      </c>
      <c r="K162" s="339">
        <f>5.2/100</f>
        <v>5.2000000000000005E-2</v>
      </c>
      <c r="L162" s="549">
        <f>IF($A162="","",COUNTIF(LUNES!$B:$B,$A162)+COUNTIF(MARTES!$B:$B,$A162)+COUNTIF(MIERCOLES!$B:$B,$A162)+COUNTIF(JUEVES!$B:$B,$A162)+COUNTIF(VIERNES!$B:$B,$A162)+COUNTIF(SABADO!$B:$B,$A162)+COUNTIF(DOMINGO!$B:$B,$A162))</f>
        <v>1</v>
      </c>
      <c r="M162" s="96">
        <f>IF($A162="V000415",VLOOKUP($A162,BOLETIN!B:F,5,0),IFERROR(IFERROR(VLOOKUP($A162,CONSOLIDADO!$A:$D,4,0),VLOOKUP($A162,BOLETIN!$B:$F,5,0)),""))</f>
        <v>7291</v>
      </c>
    </row>
    <row r="163" spans="1:14" x14ac:dyDescent="0.2">
      <c r="A163" s="95" t="str">
        <f>IF($B163="","",VLOOKUP(TRIM($B163),NSN!$A:$B,2,FALSE))</f>
        <v>V000277</v>
      </c>
      <c r="B163" s="336" t="s">
        <v>39</v>
      </c>
      <c r="C163" s="544">
        <v>1218</v>
      </c>
      <c r="D163" s="338" t="s">
        <v>32</v>
      </c>
      <c r="E163" s="338" t="s">
        <v>1957</v>
      </c>
      <c r="F163" s="339">
        <v>80</v>
      </c>
      <c r="G163" s="339">
        <v>1</v>
      </c>
      <c r="H163" s="339">
        <f>460/100</f>
        <v>4.5999999999999996</v>
      </c>
      <c r="I163" s="339">
        <f>31.1/100</f>
        <v>0.311</v>
      </c>
      <c r="J163" s="339">
        <f>33.9/100</f>
        <v>0.33899999999999997</v>
      </c>
      <c r="K163" s="339">
        <f>7.7/100</f>
        <v>7.6999999999999999E-2</v>
      </c>
      <c r="L163" s="549">
        <f>IF($A163="","",COUNTIF(LUNES!$B:$B,$A163)+COUNTIF(MARTES!$B:$B,$A163)+COUNTIF(MIERCOLES!$B:$B,$A163)+COUNTIF(JUEVES!$B:$B,$A163)+COUNTIF(VIERNES!$B:$B,$A163)+COUNTIF(SABADO!$B:$B,$A163)+COUNTIF(DOMINGO!$B:$B,$A163))</f>
        <v>0</v>
      </c>
      <c r="M163" s="96">
        <f>IF($A163="V000415",VLOOKUP($A163,BOLETIN!B:F,5,0),IFERROR(IFERROR(VLOOKUP($A163,CONSOLIDADO!$A:$D,4,0),VLOOKUP($A163,BOLETIN!$B:$F,5,0)),""))</f>
        <v>1218</v>
      </c>
    </row>
    <row r="164" spans="1:14" x14ac:dyDescent="0.2">
      <c r="A164" s="95" t="str">
        <f>IF($B164="","",VLOOKUP(TRIM($B164),NSN!$A:$B,2,FALSE))</f>
        <v>C903331</v>
      </c>
      <c r="B164" s="336" t="s">
        <v>425</v>
      </c>
      <c r="C164" s="543">
        <v>2163</v>
      </c>
      <c r="D164" s="338"/>
      <c r="E164" s="338" t="s">
        <v>361</v>
      </c>
      <c r="F164" s="339">
        <v>400</v>
      </c>
      <c r="G164" s="339">
        <v>1</v>
      </c>
      <c r="H164" s="339">
        <f>346/100</f>
        <v>3.46</v>
      </c>
      <c r="I164" s="339">
        <f>13.2/100</f>
        <v>0.13200000000000001</v>
      </c>
      <c r="J164" s="339">
        <f>9.2/100</f>
        <v>9.1999999999999998E-2</v>
      </c>
      <c r="K164" s="339">
        <f>53/100</f>
        <v>0.53</v>
      </c>
      <c r="L164" s="549">
        <f>IF($A164="","",COUNTIF(LUNES!$B:$B,$A164)+COUNTIF(MARTES!$B:$B,$A164)+COUNTIF(MIERCOLES!$B:$B,$A164)+COUNTIF(JUEVES!$B:$B,$A164)+COUNTIF(VIERNES!$B:$B,$A164)+COUNTIF(SABADO!$B:$B,$A164)+COUNTIF(DOMINGO!$B:$B,$A164))</f>
        <v>0</v>
      </c>
      <c r="M164" s="96">
        <f>IF($A164="V000415",VLOOKUP($A164,BOLETIN!B:F,5,0),IFERROR(IFERROR(VLOOKUP($A164,CONSOLIDADO!$A:$D,4,0),VLOOKUP($A164,BOLETIN!$B:$F,5,0)),""))</f>
        <v>2163</v>
      </c>
    </row>
    <row r="165" spans="1:14" x14ac:dyDescent="0.2">
      <c r="A165" s="95" t="str">
        <f>IF($B165="","",VLOOKUP(TRIM($B165),NSN!$A:$B,2,FALSE))</f>
        <v>C902857</v>
      </c>
      <c r="B165" s="336" t="s">
        <v>323</v>
      </c>
      <c r="C165" s="544">
        <v>2941</v>
      </c>
      <c r="D165" s="338"/>
      <c r="E165" s="338" t="s">
        <v>15</v>
      </c>
      <c r="F165" s="339">
        <v>1000</v>
      </c>
      <c r="G165" s="339">
        <v>1</v>
      </c>
      <c r="H165" s="339">
        <f>359/100</f>
        <v>3.59</v>
      </c>
      <c r="I165" s="339">
        <f t="shared" ref="I165:J167" si="0">0/100</f>
        <v>0</v>
      </c>
      <c r="J165" s="339">
        <f t="shared" si="0"/>
        <v>0</v>
      </c>
      <c r="K165" s="339">
        <f>89.6/100</f>
        <v>0.89599999999999991</v>
      </c>
      <c r="L165" s="549">
        <f>IF($A165="","",COUNTIF(LUNES!$B:$B,$A165)+COUNTIF(MARTES!$B:$B,$A165)+COUNTIF(MIERCOLES!$B:$B,$A165)+COUNTIF(JUEVES!$B:$B,$A165)+COUNTIF(VIERNES!$B:$B,$A165)+COUNTIF(SABADO!$B:$B,$A165)+COUNTIF(DOMINGO!$B:$B,$A165))</f>
        <v>6</v>
      </c>
      <c r="M165" s="96">
        <f>IF($A165="V000415",VLOOKUP($A165,BOLETIN!B:F,5,0),IFERROR(IFERROR(VLOOKUP($A165,CONSOLIDADO!$A:$D,4,0),VLOOKUP($A165,BOLETIN!$B:$F,5,0)),""))</f>
        <v>2941</v>
      </c>
    </row>
    <row r="166" spans="1:14" x14ac:dyDescent="0.2">
      <c r="A166" s="95" t="str">
        <f>IF($B166="","",VLOOKUP(TRIM($B166),NSN!$A:$B,2,FALSE))</f>
        <v>C902859</v>
      </c>
      <c r="B166" s="336" t="s">
        <v>72</v>
      </c>
      <c r="C166" s="544">
        <v>2986</v>
      </c>
      <c r="D166" s="338"/>
      <c r="E166" s="338" t="s">
        <v>15</v>
      </c>
      <c r="F166" s="339">
        <v>1000</v>
      </c>
      <c r="G166" s="339">
        <v>1</v>
      </c>
      <c r="H166" s="339">
        <f>359/100</f>
        <v>3.59</v>
      </c>
      <c r="I166" s="339">
        <f t="shared" si="0"/>
        <v>0</v>
      </c>
      <c r="J166" s="339">
        <f t="shared" si="0"/>
        <v>0</v>
      </c>
      <c r="K166" s="339">
        <f>89.6/100</f>
        <v>0.89599999999999991</v>
      </c>
      <c r="L166" s="549">
        <f>IF($A166="","",COUNTIF(LUNES!$B:$B,$A166)+COUNTIF(MARTES!$B:$B,$A166)+COUNTIF(MIERCOLES!$B:$B,$A166)+COUNTIF(JUEVES!$B:$B,$A166)+COUNTIF(VIERNES!$B:$B,$A166)+COUNTIF(SABADO!$B:$B,$A166)+COUNTIF(DOMINGO!$B:$B,$A166))</f>
        <v>8</v>
      </c>
      <c r="M166" s="96">
        <f>IF($A166="V000415",VLOOKUP($A166,BOLETIN!B:F,5,0),IFERROR(IFERROR(VLOOKUP($A166,CONSOLIDADO!$A:$D,4,0),VLOOKUP($A166,BOLETIN!$B:$F,5,0)),""))</f>
        <v>2986</v>
      </c>
    </row>
    <row r="167" spans="1:14" x14ac:dyDescent="0.2">
      <c r="A167" s="95" t="str">
        <f>IF($B167="","",VLOOKUP(TRIM($B167),NSN!$A:$B,2,FALSE))</f>
        <v>C902860</v>
      </c>
      <c r="B167" s="336" t="s">
        <v>73</v>
      </c>
      <c r="C167" s="544" t="s">
        <v>1958</v>
      </c>
      <c r="D167" s="338"/>
      <c r="E167" s="338" t="s">
        <v>15</v>
      </c>
      <c r="F167" s="339">
        <v>1000</v>
      </c>
      <c r="G167" s="339">
        <v>1</v>
      </c>
      <c r="H167" s="339">
        <f>359/100</f>
        <v>3.59</v>
      </c>
      <c r="I167" s="339">
        <f t="shared" si="0"/>
        <v>0</v>
      </c>
      <c r="J167" s="339">
        <f t="shared" si="0"/>
        <v>0</v>
      </c>
      <c r="K167" s="339">
        <f>89.6/100</f>
        <v>0.89599999999999991</v>
      </c>
      <c r="L167" s="549">
        <f>IF($A167="","",COUNTIF(LUNES!$B:$B,$A167)+COUNTIF(MARTES!$B:$B,$A167)+COUNTIF(MIERCOLES!$B:$B,$A167)+COUNTIF(JUEVES!$B:$B,$A167)+COUNTIF(VIERNES!$B:$B,$A167)+COUNTIF(SABADO!$B:$B,$A167)+COUNTIF(DOMINGO!$B:$B,$A167))</f>
        <v>0</v>
      </c>
      <c r="M167" s="96">
        <f>IF($A167="V000415",VLOOKUP($A167,BOLETIN!B:F,5,0),IFERROR(IFERROR(VLOOKUP($A167,CONSOLIDADO!$A:$D,4,0),VLOOKUP($A167,BOLETIN!$B:$F,5,0)),""))</f>
        <v>2950</v>
      </c>
    </row>
    <row r="168" spans="1:14" x14ac:dyDescent="0.2">
      <c r="A168" s="95" t="str">
        <f>IF($B168="","",VLOOKUP(TRIM($B168),NSN!$A:$B,2,FALSE))</f>
        <v>V000283</v>
      </c>
      <c r="B168" s="336" t="s">
        <v>491</v>
      </c>
      <c r="C168" s="544">
        <v>1614</v>
      </c>
      <c r="D168" s="338"/>
      <c r="E168" s="338" t="s">
        <v>111</v>
      </c>
      <c r="F168" s="339">
        <v>1000</v>
      </c>
      <c r="G168" s="339">
        <v>0.92200000000000004</v>
      </c>
      <c r="H168" s="339">
        <f>31/100</f>
        <v>0.31</v>
      </c>
      <c r="I168" s="339">
        <f>1.8/100</f>
        <v>1.8000000000000002E-2</v>
      </c>
      <c r="J168" s="339">
        <f>0.3/100</f>
        <v>3.0000000000000001E-3</v>
      </c>
      <c r="K168" s="339">
        <f>5.2/100</f>
        <v>5.2000000000000005E-2</v>
      </c>
      <c r="L168" s="549">
        <f>IF($A168="","",COUNTIF(LUNES!$B:$B,$A168)+COUNTIF(MARTES!$B:$B,$A168)+COUNTIF(MIERCOLES!$B:$B,$A168)+COUNTIF(JUEVES!$B:$B,$A168)+COUNTIF(VIERNES!$B:$B,$A168)+COUNTIF(SABADO!$B:$B,$A168)+COUNTIF(DOMINGO!$B:$B,$A168))</f>
        <v>0</v>
      </c>
      <c r="M168" s="96">
        <f>IF($A168="V000415",VLOOKUP($A168,BOLETIN!B:F,5,0),IFERROR(IFERROR(VLOOKUP($A168,CONSOLIDADO!$A:$D,4,0),VLOOKUP($A168,BOLETIN!$B:$F,5,0)),""))</f>
        <v>1614</v>
      </c>
    </row>
    <row r="169" spans="1:14" x14ac:dyDescent="0.2">
      <c r="A169" s="95" t="str">
        <f>IF($B169="","",VLOOKUP(TRIM($B169),NSN!$A:$B,2,FALSE))</f>
        <v>C000528</v>
      </c>
      <c r="B169" s="336" t="s">
        <v>653</v>
      </c>
      <c r="C169" s="544">
        <v>375</v>
      </c>
      <c r="D169" s="338"/>
      <c r="E169" s="338" t="s">
        <v>15</v>
      </c>
      <c r="F169" s="339">
        <v>1000</v>
      </c>
      <c r="G169" s="339">
        <v>1</v>
      </c>
      <c r="H169" s="339">
        <f>0/100</f>
        <v>0</v>
      </c>
      <c r="I169" s="339">
        <f>0/100</f>
        <v>0</v>
      </c>
      <c r="J169" s="339">
        <f>0/100</f>
        <v>0</v>
      </c>
      <c r="K169" s="339">
        <f>0/100</f>
        <v>0</v>
      </c>
      <c r="L169" s="549">
        <f>IF($A169="","",COUNTIF(LUNES!$B:$B,$A169)+COUNTIF(MARTES!$B:$B,$A169)+COUNTIF(MIERCOLES!$B:$B,$A169)+COUNTIF(JUEVES!$B:$B,$A169)+COUNTIF(VIERNES!$B:$B,$A169)+COUNTIF(SABADO!$B:$B,$A169)+COUNTIF(DOMINGO!$B:$B,$A169))</f>
        <v>39</v>
      </c>
      <c r="M169" s="96">
        <f>IF($A169="V000415",VLOOKUP($A169,BOLETIN!B:F,5,0),IFERROR(IFERROR(VLOOKUP($A169,CONSOLIDADO!$A:$D,4,0),VLOOKUP($A169,BOLETIN!$B:$F,5,0)),""))</f>
        <v>375</v>
      </c>
      <c r="N169" s="335" t="s">
        <v>625</v>
      </c>
    </row>
    <row r="170" spans="1:14" x14ac:dyDescent="0.2">
      <c r="A170" s="95" t="str">
        <f>IF($B170="","",VLOOKUP(TRIM($B170),NSN!$A:$B,2,FALSE))</f>
        <v>C902764</v>
      </c>
      <c r="B170" s="336" t="s">
        <v>279</v>
      </c>
      <c r="C170" s="377" t="s">
        <v>1958</v>
      </c>
      <c r="D170" s="338"/>
      <c r="E170" s="338" t="s">
        <v>281</v>
      </c>
      <c r="F170" s="339">
        <v>3000</v>
      </c>
      <c r="G170" s="339">
        <v>1</v>
      </c>
      <c r="H170" s="339">
        <f>57/100</f>
        <v>0.56999999999999995</v>
      </c>
      <c r="I170" s="339">
        <f>7.3/100</f>
        <v>7.2999999999999995E-2</v>
      </c>
      <c r="J170" s="339">
        <f>0.9/100</f>
        <v>9.0000000000000011E-3</v>
      </c>
      <c r="K170" s="339">
        <f>4.9/100</f>
        <v>4.9000000000000002E-2</v>
      </c>
      <c r="L170" s="549">
        <f>IF($A170="","",COUNTIF(LUNES!$B:$B,$A170)+COUNTIF(MARTES!$B:$B,$A170)+COUNTIF(MIERCOLES!$B:$B,$A170)+COUNTIF(JUEVES!$B:$B,$A170)+COUNTIF(VIERNES!$B:$B,$A170)+COUNTIF(SABADO!$B:$B,$A170)+COUNTIF(DOMINGO!$B:$B,$A170))</f>
        <v>0</v>
      </c>
      <c r="M170" s="96" t="str">
        <f>IF($A170="V000415",VLOOKUP($A170,BOLETIN!B:F,5,0),IFERROR(IFERROR(VLOOKUP($A170,CONSOLIDADO!$A:$D,4,0),VLOOKUP($A170,BOLETIN!$B:$F,5,0)),""))</f>
        <v/>
      </c>
    </row>
    <row r="171" spans="1:14" x14ac:dyDescent="0.2">
      <c r="A171" s="95" t="str">
        <f>IF($B171="","",VLOOKUP(TRIM($B171),NSN!$A:$B,2,FALSE))</f>
        <v>C902533</v>
      </c>
      <c r="B171" s="336" t="s">
        <v>327</v>
      </c>
      <c r="C171" s="378" t="s">
        <v>1958</v>
      </c>
      <c r="D171" s="338"/>
      <c r="E171" s="338" t="s">
        <v>908</v>
      </c>
      <c r="F171" s="339">
        <v>200</v>
      </c>
      <c r="G171" s="339">
        <v>1</v>
      </c>
      <c r="H171" s="339">
        <f>82/100</f>
        <v>0.82</v>
      </c>
      <c r="I171" s="339">
        <f>2.7/100</f>
        <v>2.7000000000000003E-2</v>
      </c>
      <c r="J171" s="339">
        <f>1/100</f>
        <v>0.01</v>
      </c>
      <c r="K171" s="339">
        <f>15.5/100</f>
        <v>0.155</v>
      </c>
      <c r="L171" s="549">
        <f>IF($A171="","",COUNTIF(LUNES!$B:$B,$A171)+COUNTIF(MARTES!$B:$B,$A171)+COUNTIF(MIERCOLES!$B:$B,$A171)+COUNTIF(JUEVES!$B:$B,$A171)+COUNTIF(VIERNES!$B:$B,$A171)+COUNTIF(SABADO!$B:$B,$A171)+COUNTIF(DOMINGO!$B:$B,$A171))</f>
        <v>0</v>
      </c>
      <c r="M171" s="96" t="str">
        <f>IF($A171="V000415",VLOOKUP($A171,BOLETIN!B:F,5,0),IFERROR(IFERROR(VLOOKUP($A171,CONSOLIDADO!$A:$D,4,0),VLOOKUP($A171,BOLETIN!$B:$F,5,0)),""))</f>
        <v/>
      </c>
    </row>
    <row r="172" spans="1:14" x14ac:dyDescent="0.2">
      <c r="A172" s="95" t="str">
        <f>IF($B172="","",VLOOKUP(TRIM($B172),NSN!$A:$B,2,FALSE))</f>
        <v>V000300</v>
      </c>
      <c r="B172" s="336" t="s">
        <v>41</v>
      </c>
      <c r="C172" s="544">
        <v>3462</v>
      </c>
      <c r="D172" s="338"/>
      <c r="E172" s="338" t="s">
        <v>114</v>
      </c>
      <c r="F172" s="339">
        <v>500</v>
      </c>
      <c r="G172" s="339">
        <v>1</v>
      </c>
      <c r="H172" s="339">
        <f>73/100</f>
        <v>0.73</v>
      </c>
      <c r="I172" s="339">
        <f>0/100</f>
        <v>0</v>
      </c>
      <c r="J172" s="339">
        <f>0/100</f>
        <v>0</v>
      </c>
      <c r="K172" s="339">
        <f>18/100</f>
        <v>0.18</v>
      </c>
      <c r="L172" s="549">
        <f>IF($A172="","",COUNTIF(LUNES!$B:$B,$A172)+COUNTIF(MARTES!$B:$B,$A172)+COUNTIF(MIERCOLES!$B:$B,$A172)+COUNTIF(JUEVES!$B:$B,$A172)+COUNTIF(VIERNES!$B:$B,$A172)+COUNTIF(SABADO!$B:$B,$A172)+COUNTIF(DOMINGO!$B:$B,$A172))</f>
        <v>1</v>
      </c>
      <c r="M172" s="96">
        <f>IF($A172="V000415",VLOOKUP($A172,BOLETIN!B:F,5,0),IFERROR(IFERROR(VLOOKUP($A172,CONSOLIDADO!$A:$D,4,0),VLOOKUP($A172,BOLETIN!$B:$F,5,0)),""))</f>
        <v>3462</v>
      </c>
      <c r="N172" s="335" t="s">
        <v>172</v>
      </c>
    </row>
    <row r="173" spans="1:14" x14ac:dyDescent="0.2">
      <c r="A173" s="95" t="str">
        <f>IF($B173="","",VLOOKUP(TRIM($B173),NSN!$A:$B,2,FALSE))</f>
        <v>V000301</v>
      </c>
      <c r="B173" s="336" t="s">
        <v>160</v>
      </c>
      <c r="C173" s="344">
        <v>3562</v>
      </c>
      <c r="D173" s="338"/>
      <c r="E173" s="338" t="s">
        <v>111</v>
      </c>
      <c r="F173" s="339">
        <v>1000</v>
      </c>
      <c r="G173" s="339">
        <v>1</v>
      </c>
      <c r="H173" s="339">
        <f>23/100</f>
        <v>0.23</v>
      </c>
      <c r="I173" s="339">
        <f>0.5/100</f>
        <v>5.0000000000000001E-3</v>
      </c>
      <c r="J173" s="339">
        <f>0.2/100</f>
        <v>2E-3</v>
      </c>
      <c r="K173" s="339">
        <f>4.8/100</f>
        <v>4.8000000000000001E-2</v>
      </c>
      <c r="L173" s="549">
        <f>IF($A173="","",COUNTIF(LUNES!$B:$B,$A173)+COUNTIF(MARTES!$B:$B,$A173)+COUNTIF(MIERCOLES!$B:$B,$A173)+COUNTIF(JUEVES!$B:$B,$A173)+COUNTIF(VIERNES!$B:$B,$A173)+COUNTIF(SABADO!$B:$B,$A173)+COUNTIF(DOMINGO!$B:$B,$A173))</f>
        <v>0</v>
      </c>
      <c r="M173" s="96" t="str">
        <f>IF($A173="V000415",VLOOKUP($A173,BOLETIN!B:F,5,0),IFERROR(IFERROR(VLOOKUP($A173,CONSOLIDADO!$A:$D,4,0),VLOOKUP($A173,BOLETIN!$B:$F,5,0)),""))</f>
        <v/>
      </c>
      <c r="N173" s="335" t="s">
        <v>319</v>
      </c>
    </row>
    <row r="174" spans="1:14" x14ac:dyDescent="0.2">
      <c r="A174" s="95" t="str">
        <f>IF($B174="","",VLOOKUP(TRIM($B174),NSN!$A:$B,2,FALSE))</f>
        <v>V000305</v>
      </c>
      <c r="B174" s="336" t="s">
        <v>605</v>
      </c>
      <c r="C174" s="544">
        <v>2559</v>
      </c>
      <c r="D174" s="338"/>
      <c r="E174" s="338" t="s">
        <v>15</v>
      </c>
      <c r="F174" s="339">
        <v>1000</v>
      </c>
      <c r="G174" s="339">
        <v>1</v>
      </c>
      <c r="H174" s="339">
        <f>347/100</f>
        <v>3.47</v>
      </c>
      <c r="I174" s="339">
        <f>8.1/100</f>
        <v>8.1000000000000003E-2</v>
      </c>
      <c r="J174" s="339">
        <f>0.7/100</f>
        <v>6.9999999999999993E-3</v>
      </c>
      <c r="K174" s="339">
        <f>77.5/100</f>
        <v>0.77500000000000002</v>
      </c>
      <c r="L174" s="549">
        <f>IF($A174="","",COUNTIF(LUNES!$B:$B,$A174)+COUNTIF(MARTES!$B:$B,$A174)+COUNTIF(MIERCOLES!$B:$B,$A174)+COUNTIF(JUEVES!$B:$B,$A174)+COUNTIF(VIERNES!$B:$B,$A174)+COUNTIF(SABADO!$B:$B,$A174)+COUNTIF(DOMINGO!$B:$B,$A174))</f>
        <v>2</v>
      </c>
      <c r="M174" s="96" t="str">
        <f>IF($A174="V000415",VLOOKUP($A174,BOLETIN!B:F,5,0),IFERROR(IFERROR(VLOOKUP($A174,CONSOLIDADO!$A:$D,4,0),VLOOKUP($A174,BOLETIN!$B:$F,5,0)),""))</f>
        <v/>
      </c>
    </row>
    <row r="175" spans="1:14" x14ac:dyDescent="0.2">
      <c r="A175" s="95" t="str">
        <f>IF($B175="","",VLOOKUP(TRIM($B175),NSN!$A:$B,2,FALSE))</f>
        <v>C902861</v>
      </c>
      <c r="B175" s="336" t="s">
        <v>329</v>
      </c>
      <c r="C175" s="377" t="s">
        <v>1958</v>
      </c>
      <c r="D175" s="351"/>
      <c r="E175" s="338" t="s">
        <v>15</v>
      </c>
      <c r="F175" s="339">
        <v>1000</v>
      </c>
      <c r="G175" s="339">
        <v>1</v>
      </c>
      <c r="H175" s="339">
        <f>314/100</f>
        <v>3.14</v>
      </c>
      <c r="I175" s="339">
        <f>7/100</f>
        <v>7.0000000000000007E-2</v>
      </c>
      <c r="J175" s="339">
        <f>5.7/100</f>
        <v>5.7000000000000002E-2</v>
      </c>
      <c r="K175" s="339">
        <f>58.7/100</f>
        <v>0.58700000000000008</v>
      </c>
      <c r="L175" s="549">
        <f>IF($A175="","",COUNTIF(LUNES!$B:$B,$A175)+COUNTIF(MARTES!$B:$B,$A175)+COUNTIF(MIERCOLES!$B:$B,$A175)+COUNTIF(JUEVES!$B:$B,$A175)+COUNTIF(VIERNES!$B:$B,$A175)+COUNTIF(SABADO!$B:$B,$A175)+COUNTIF(DOMINGO!$B:$B,$A175))</f>
        <v>0</v>
      </c>
      <c r="M175" s="96" t="str">
        <f>IF($A175="V000415",VLOOKUP($A175,BOLETIN!B:F,5,0),IFERROR(IFERROR(VLOOKUP($A175,CONSOLIDADO!$A:$D,4,0),VLOOKUP($A175,BOLETIN!$B:$F,5,0)),""))</f>
        <v/>
      </c>
    </row>
    <row r="176" spans="1:14" x14ac:dyDescent="0.2">
      <c r="A176" s="95" t="str">
        <f>IF($B176="","",VLOOKUP(TRIM($B176),NSN!$A:$B,2,FALSE))</f>
        <v>C902863</v>
      </c>
      <c r="B176" s="336" t="s">
        <v>332</v>
      </c>
      <c r="C176" s="543">
        <v>2490</v>
      </c>
      <c r="D176" s="338"/>
      <c r="E176" s="338" t="s">
        <v>15</v>
      </c>
      <c r="F176" s="339">
        <v>1000</v>
      </c>
      <c r="G176" s="339">
        <v>1</v>
      </c>
      <c r="H176" s="339">
        <f>294/100</f>
        <v>2.94</v>
      </c>
      <c r="I176" s="339">
        <f>7.5/100</f>
        <v>7.4999999999999997E-2</v>
      </c>
      <c r="J176" s="339">
        <f>2/100</f>
        <v>0.02</v>
      </c>
      <c r="K176" s="339">
        <f>62/100</f>
        <v>0.62</v>
      </c>
      <c r="L176" s="549">
        <f>IF($A176="","",COUNTIF(LUNES!$B:$B,$A176)+COUNTIF(MARTES!$B:$B,$A176)+COUNTIF(MIERCOLES!$B:$B,$A176)+COUNTIF(JUEVES!$B:$B,$A176)+COUNTIF(VIERNES!$B:$B,$A176)+COUNTIF(SABADO!$B:$B,$A176)+COUNTIF(DOMINGO!$B:$B,$A176))</f>
        <v>0</v>
      </c>
      <c r="M176" s="96">
        <f>IF($A176="V000415",VLOOKUP($A176,BOLETIN!B:F,5,0),IFERROR(IFERROR(VLOOKUP($A176,CONSOLIDADO!$A:$D,4,0),VLOOKUP($A176,BOLETIN!$B:$F,5,0)),""))</f>
        <v>2490</v>
      </c>
    </row>
    <row r="177" spans="1:13" x14ac:dyDescent="0.2">
      <c r="A177" s="95" t="str">
        <f>IF($B177="","",VLOOKUP(TRIM($B177),NSN!$A:$B,2,FALSE))</f>
        <v>C902864</v>
      </c>
      <c r="B177" s="336" t="s">
        <v>654</v>
      </c>
      <c r="C177" s="543">
        <v>2453</v>
      </c>
      <c r="D177" s="338"/>
      <c r="E177" s="338" t="s">
        <v>15</v>
      </c>
      <c r="F177" s="339">
        <v>1000</v>
      </c>
      <c r="G177" s="339">
        <v>1</v>
      </c>
      <c r="H177" s="339">
        <f>291/100</f>
        <v>2.91</v>
      </c>
      <c r="I177" s="339">
        <f>7.9/100</f>
        <v>7.9000000000000001E-2</v>
      </c>
      <c r="J177" s="339">
        <f>1.8/100</f>
        <v>1.8000000000000002E-2</v>
      </c>
      <c r="K177" s="339">
        <f>61/100</f>
        <v>0.61</v>
      </c>
      <c r="L177" s="549">
        <f>IF($A177="","",COUNTIF(LUNES!$B:$B,$A177)+COUNTIF(MARTES!$B:$B,$A177)+COUNTIF(MIERCOLES!$B:$B,$A177)+COUNTIF(JUEVES!$B:$B,$A177)+COUNTIF(VIERNES!$B:$B,$A177)+COUNTIF(SABADO!$B:$B,$A177)+COUNTIF(DOMINGO!$B:$B,$A177))</f>
        <v>0</v>
      </c>
      <c r="M177" s="96">
        <f>IF($A177="V000415",VLOOKUP($A177,BOLETIN!B:F,5,0),IFERROR(IFERROR(VLOOKUP($A177,CONSOLIDADO!$A:$D,4,0),VLOOKUP($A177,BOLETIN!$B:$F,5,0)),""))</f>
        <v>2453</v>
      </c>
    </row>
    <row r="178" spans="1:13" x14ac:dyDescent="0.2">
      <c r="A178" s="95" t="str">
        <f>IF($B178="","",VLOOKUP(TRIM($B178),NSN!$A:$B,2,FALSE))</f>
        <v>C902862</v>
      </c>
      <c r="B178" s="336" t="s">
        <v>331</v>
      </c>
      <c r="C178" s="544">
        <v>2590</v>
      </c>
      <c r="D178" s="338"/>
      <c r="E178" s="338" t="s">
        <v>15</v>
      </c>
      <c r="F178" s="339">
        <v>1000</v>
      </c>
      <c r="G178" s="339">
        <v>1</v>
      </c>
      <c r="H178" s="339">
        <f>300/100</f>
        <v>3</v>
      </c>
      <c r="I178" s="339">
        <f>6.2/100</f>
        <v>6.2E-2</v>
      </c>
      <c r="J178" s="339">
        <f>2/100</f>
        <v>0.02</v>
      </c>
      <c r="K178" s="339">
        <f>64/100</f>
        <v>0.64</v>
      </c>
      <c r="L178" s="549">
        <f>IF($A178="","",COUNTIF(LUNES!$B:$B,$A178)+COUNTIF(MARTES!$B:$B,$A178)+COUNTIF(MIERCOLES!$B:$B,$A178)+COUNTIF(JUEVES!$B:$B,$A178)+COUNTIF(VIERNES!$B:$B,$A178)+COUNTIF(SABADO!$B:$B,$A178)+COUNTIF(DOMINGO!$B:$B,$A178))</f>
        <v>1</v>
      </c>
      <c r="M178" s="96">
        <f>IF($A178="V000415",VLOOKUP($A178,BOLETIN!B:F,5,0),IFERROR(IFERROR(VLOOKUP($A178,CONSOLIDADO!$A:$D,4,0),VLOOKUP($A178,BOLETIN!$B:$F,5,0)),""))</f>
        <v>2590</v>
      </c>
    </row>
    <row r="179" spans="1:13" x14ac:dyDescent="0.2">
      <c r="A179" s="95" t="str">
        <f>IF($B179="","",VLOOKUP(TRIM($B179),NSN!$A:$B,2,FALSE))</f>
        <v>C902865</v>
      </c>
      <c r="B179" s="336" t="s">
        <v>641</v>
      </c>
      <c r="C179" s="543">
        <v>2413</v>
      </c>
      <c r="D179" s="338"/>
      <c r="E179" s="338" t="s">
        <v>15</v>
      </c>
      <c r="F179" s="339">
        <v>1000</v>
      </c>
      <c r="G179" s="339">
        <v>1</v>
      </c>
      <c r="H179" s="339">
        <f>304/100</f>
        <v>3.04</v>
      </c>
      <c r="I179" s="339">
        <f>5.9/100</f>
        <v>5.9000000000000004E-2</v>
      </c>
      <c r="J179" s="339">
        <f>2/100</f>
        <v>0.02</v>
      </c>
      <c r="K179" s="339">
        <f>66/100</f>
        <v>0.66</v>
      </c>
      <c r="L179" s="549">
        <f>IF($A179="","",COUNTIF(LUNES!$B:$B,$A179)+COUNTIF(MARTES!$B:$B,$A179)+COUNTIF(MIERCOLES!$B:$B,$A179)+COUNTIF(JUEVES!$B:$B,$A179)+COUNTIF(VIERNES!$B:$B,$A179)+COUNTIF(SABADO!$B:$B,$A179)+COUNTIF(DOMINGO!$B:$B,$A179))</f>
        <v>0</v>
      </c>
      <c r="M179" s="96">
        <f>IF($A179="V000415",VLOOKUP($A179,BOLETIN!B:F,5,0),IFERROR(IFERROR(VLOOKUP($A179,CONSOLIDADO!$A:$D,4,0),VLOOKUP($A179,BOLETIN!$B:$F,5,0)),""))</f>
        <v>2413</v>
      </c>
    </row>
    <row r="180" spans="1:13" x14ac:dyDescent="0.2">
      <c r="A180" s="95" t="str">
        <f>IF($B180="","",VLOOKUP(TRIM($B180),NSN!$A:$B,2,FALSE))</f>
        <v>C902866</v>
      </c>
      <c r="B180" s="336" t="s">
        <v>642</v>
      </c>
      <c r="C180" s="544">
        <v>2570</v>
      </c>
      <c r="D180" s="338"/>
      <c r="E180" s="338" t="s">
        <v>15</v>
      </c>
      <c r="F180" s="339">
        <v>1000</v>
      </c>
      <c r="G180" s="339">
        <v>1</v>
      </c>
      <c r="H180" s="339">
        <f>302/100</f>
        <v>3.02</v>
      </c>
      <c r="I180" s="339">
        <f>7.2/100</f>
        <v>7.2000000000000008E-2</v>
      </c>
      <c r="J180" s="339">
        <f>2.1/100</f>
        <v>2.1000000000000001E-2</v>
      </c>
      <c r="K180" s="339">
        <f>64/100</f>
        <v>0.64</v>
      </c>
      <c r="L180" s="549">
        <f>IF($A180="","",COUNTIF(LUNES!$B:$B,$A180)+COUNTIF(MARTES!$B:$B,$A180)+COUNTIF(MIERCOLES!$B:$B,$A180)+COUNTIF(JUEVES!$B:$B,$A180)+COUNTIF(VIERNES!$B:$B,$A180)+COUNTIF(SABADO!$B:$B,$A180)+COUNTIF(DOMINGO!$B:$B,$A180))</f>
        <v>1</v>
      </c>
      <c r="M180" s="96">
        <f>IF($A180="V000415",VLOOKUP($A180,BOLETIN!B:F,5,0),IFERROR(IFERROR(VLOOKUP($A180,CONSOLIDADO!$A:$D,4,0),VLOOKUP($A180,BOLETIN!$B:$F,5,0)),""))</f>
        <v>2570</v>
      </c>
    </row>
    <row r="181" spans="1:13" x14ac:dyDescent="0.2">
      <c r="A181" s="95" t="str">
        <f>IF($B181="","",VLOOKUP(TRIM($B181),NSN!$A:$B,2,FALSE))</f>
        <v>V001129</v>
      </c>
      <c r="B181" s="336" t="s">
        <v>470</v>
      </c>
      <c r="C181" s="544">
        <v>1550</v>
      </c>
      <c r="D181" s="338"/>
      <c r="E181" s="338" t="s">
        <v>264</v>
      </c>
      <c r="F181" s="339">
        <v>500</v>
      </c>
      <c r="G181" s="339">
        <v>1</v>
      </c>
      <c r="H181" s="339">
        <f>25/100</f>
        <v>0.25</v>
      </c>
      <c r="I181" s="339">
        <f>0/100</f>
        <v>0</v>
      </c>
      <c r="J181" s="339">
        <f>0.1/100</f>
        <v>1E-3</v>
      </c>
      <c r="K181" s="339">
        <f>93.7/100</f>
        <v>0.93700000000000006</v>
      </c>
      <c r="L181" s="549">
        <f>IF($A181="","",COUNTIF(LUNES!$B:$B,$A181)+COUNTIF(MARTES!$B:$B,$A181)+COUNTIF(MIERCOLES!$B:$B,$A181)+COUNTIF(JUEVES!$B:$B,$A181)+COUNTIF(VIERNES!$B:$B,$A181)+COUNTIF(SABADO!$B:$B,$A181)+COUNTIF(DOMINGO!$B:$B,$A181))</f>
        <v>5</v>
      </c>
      <c r="M181" s="96">
        <f>IF($A181="V000415",VLOOKUP($A181,BOLETIN!B:F,5,0),IFERROR(IFERROR(VLOOKUP($A181,CONSOLIDADO!$A:$D,4,0),VLOOKUP($A181,BOLETIN!$B:$F,5,0)),""))</f>
        <v>1550</v>
      </c>
    </row>
    <row r="182" spans="1:13" x14ac:dyDescent="0.2">
      <c r="A182" s="95" t="str">
        <f>IF($B182="","",VLOOKUP(TRIM($B182),NSN!$A:$B,2,FALSE))</f>
        <v>C903008</v>
      </c>
      <c r="B182" s="336" t="s">
        <v>427</v>
      </c>
      <c r="C182" s="544">
        <v>3055</v>
      </c>
      <c r="D182" s="338"/>
      <c r="E182" s="338" t="s">
        <v>15</v>
      </c>
      <c r="F182" s="339">
        <v>1000</v>
      </c>
      <c r="G182" s="339">
        <v>0.72599999999999998</v>
      </c>
      <c r="H182" s="339">
        <f>104/100</f>
        <v>1.04</v>
      </c>
      <c r="I182" s="339">
        <f>19/100</f>
        <v>0.19</v>
      </c>
      <c r="J182" s="339">
        <f>1.9/100</f>
        <v>1.9E-2</v>
      </c>
      <c r="K182" s="339">
        <f>2.8/100</f>
        <v>2.7999999999999997E-2</v>
      </c>
      <c r="L182" s="549">
        <f>IF($A182="","",COUNTIF(LUNES!$B:$B,$A182)+COUNTIF(MARTES!$B:$B,$A182)+COUNTIF(MIERCOLES!$B:$B,$A182)+COUNTIF(JUEVES!$B:$B,$A182)+COUNTIF(VIERNES!$B:$B,$A182)+COUNTIF(SABADO!$B:$B,$A182)+COUNTIF(DOMINGO!$B:$B,$A182))</f>
        <v>1</v>
      </c>
      <c r="M182" s="96">
        <f>IF($A182="V000415",VLOOKUP($A182,BOLETIN!B:F,5,0),IFERROR(IFERROR(VLOOKUP($A182,CONSOLIDADO!$A:$D,4,0),VLOOKUP($A182,BOLETIN!$B:$F,5,0)),""))</f>
        <v>3055</v>
      </c>
    </row>
    <row r="183" spans="1:13" x14ac:dyDescent="0.2">
      <c r="A183" s="95" t="str">
        <f>IF($B183="","",VLOOKUP(TRIM($B183),NSN!$A:$B,2,FALSE))</f>
        <v>V000573</v>
      </c>
      <c r="B183" s="336" t="s">
        <v>342</v>
      </c>
      <c r="C183" s="344">
        <v>1885</v>
      </c>
      <c r="D183" s="338"/>
      <c r="E183" s="338" t="s">
        <v>906</v>
      </c>
      <c r="F183" s="339">
        <v>280</v>
      </c>
      <c r="G183" s="339">
        <v>1</v>
      </c>
      <c r="H183" s="339"/>
      <c r="I183" s="339"/>
      <c r="J183" s="339"/>
      <c r="K183" s="339"/>
      <c r="L183" s="549">
        <f>IF($A183="","",COUNTIF(LUNES!$B:$B,$A183)+COUNTIF(MARTES!$B:$B,$A183)+COUNTIF(MIERCOLES!$B:$B,$A183)+COUNTIF(JUEVES!$B:$B,$A183)+COUNTIF(VIERNES!$B:$B,$A183)+COUNTIF(SABADO!$B:$B,$A183)+COUNTIF(DOMINGO!$B:$B,$A183))</f>
        <v>0</v>
      </c>
      <c r="M183" s="96" t="str">
        <f>IF($A183="V000415",VLOOKUP($A183,BOLETIN!B:F,5,0),IFERROR(IFERROR(VLOOKUP($A183,CONSOLIDADO!$A:$D,4,0),VLOOKUP($A183,BOLETIN!$B:$F,5,0)),""))</f>
        <v/>
      </c>
    </row>
    <row r="184" spans="1:13" x14ac:dyDescent="0.2">
      <c r="A184" s="95" t="str">
        <f>IF($B184="","",VLOOKUP(TRIM($B184),NSN!$A:$B,2,FALSE))</f>
        <v>C000827</v>
      </c>
      <c r="B184" s="336" t="s">
        <v>10</v>
      </c>
      <c r="C184" s="544">
        <v>7800</v>
      </c>
      <c r="D184" s="338"/>
      <c r="E184" s="338" t="s">
        <v>15</v>
      </c>
      <c r="F184" s="339">
        <v>1000</v>
      </c>
      <c r="G184" s="339">
        <v>1</v>
      </c>
      <c r="H184" s="339">
        <f>1/100</f>
        <v>0.01</v>
      </c>
      <c r="I184" s="339">
        <f t="shared" ref="I184:J186" si="1">0/100</f>
        <v>0</v>
      </c>
      <c r="J184" s="339">
        <f t="shared" si="1"/>
        <v>0</v>
      </c>
      <c r="K184" s="339">
        <f>0.2/100</f>
        <v>2E-3</v>
      </c>
      <c r="L184" s="549">
        <f>IF($A184="","",COUNTIF(LUNES!$B:$B,$A184)+COUNTIF(MARTES!$B:$B,$A184)+COUNTIF(MIERCOLES!$B:$B,$A184)+COUNTIF(JUEVES!$B:$B,$A184)+COUNTIF(VIERNES!$B:$B,$A184)+COUNTIF(SABADO!$B:$B,$A184)+COUNTIF(DOMINGO!$B:$B,$A184))</f>
        <v>7</v>
      </c>
      <c r="M184" s="96">
        <f>IF($A184="V000415",VLOOKUP($A184,BOLETIN!B:F,5,0),IFERROR(IFERROR(VLOOKUP($A184,CONSOLIDADO!$A:$D,4,0),VLOOKUP($A184,BOLETIN!$B:$F,5,0)),""))</f>
        <v>7800</v>
      </c>
    </row>
    <row r="185" spans="1:13" x14ac:dyDescent="0.2">
      <c r="A185" s="95" t="str">
        <f>IF($B185="","",VLOOKUP(TRIM($B185),NSN!$A:$B,2,FALSE))</f>
        <v>C902891</v>
      </c>
      <c r="B185" s="336" t="s">
        <v>258</v>
      </c>
      <c r="C185" s="377" t="s">
        <v>1958</v>
      </c>
      <c r="D185" s="338"/>
      <c r="E185" s="338" t="s">
        <v>168</v>
      </c>
      <c r="F185" s="339">
        <v>1000</v>
      </c>
      <c r="G185" s="339">
        <v>1</v>
      </c>
      <c r="H185" s="339">
        <f>1/100</f>
        <v>0.01</v>
      </c>
      <c r="I185" s="339">
        <f t="shared" si="1"/>
        <v>0</v>
      </c>
      <c r="J185" s="339">
        <f t="shared" si="1"/>
        <v>0</v>
      </c>
      <c r="K185" s="339">
        <f>0.2/100</f>
        <v>2E-3</v>
      </c>
      <c r="L185" s="549">
        <f>IF($A185="","",COUNTIF(LUNES!$B:$B,$A185)+COUNTIF(MARTES!$B:$B,$A185)+COUNTIF(MIERCOLES!$B:$B,$A185)+COUNTIF(JUEVES!$B:$B,$A185)+COUNTIF(VIERNES!$B:$B,$A185)+COUNTIF(SABADO!$B:$B,$A185)+COUNTIF(DOMINGO!$B:$B,$A185))</f>
        <v>0</v>
      </c>
      <c r="M185" s="96" t="str">
        <f>IF($A185="V000415",VLOOKUP($A185,BOLETIN!B:F,5,0),IFERROR(IFERROR(VLOOKUP($A185,CONSOLIDADO!$A:$D,4,0),VLOOKUP($A185,BOLETIN!$B:$F,5,0)),""))</f>
        <v/>
      </c>
    </row>
    <row r="186" spans="1:13" x14ac:dyDescent="0.2">
      <c r="A186" s="95" t="str">
        <f>IF($B186="","",VLOOKUP(TRIM($B186),NSN!$A:$B,2,FALSE))</f>
        <v>C902686</v>
      </c>
      <c r="B186" s="336" t="s">
        <v>428</v>
      </c>
      <c r="C186" s="543">
        <v>3480</v>
      </c>
      <c r="D186" s="338"/>
      <c r="E186" s="338" t="s">
        <v>260</v>
      </c>
      <c r="F186" s="339">
        <v>1000</v>
      </c>
      <c r="G186" s="339">
        <v>1</v>
      </c>
      <c r="H186" s="339">
        <f>1/100</f>
        <v>0.01</v>
      </c>
      <c r="I186" s="339">
        <f t="shared" si="1"/>
        <v>0</v>
      </c>
      <c r="J186" s="339">
        <f t="shared" si="1"/>
        <v>0</v>
      </c>
      <c r="K186" s="339">
        <f>0.2/100</f>
        <v>2E-3</v>
      </c>
      <c r="L186" s="549">
        <f>IF($A186="","",COUNTIF(LUNES!$B:$B,$A186)+COUNTIF(MARTES!$B:$B,$A186)+COUNTIF(MIERCOLES!$B:$B,$A186)+COUNTIF(JUEVES!$B:$B,$A186)+COUNTIF(VIERNES!$B:$B,$A186)+COUNTIF(SABADO!$B:$B,$A186)+COUNTIF(DOMINGO!$B:$B,$A186))</f>
        <v>0</v>
      </c>
      <c r="M186" s="96">
        <f>IF($A186="V000415",VLOOKUP($A186,BOLETIN!B:F,5,0),IFERROR(IFERROR(VLOOKUP($A186,CONSOLIDADO!$A:$D,4,0),VLOOKUP($A186,BOLETIN!$B:$F,5,0)),""))</f>
        <v>3480</v>
      </c>
    </row>
    <row r="187" spans="1:13" x14ac:dyDescent="0.2">
      <c r="A187" s="95" t="str">
        <f>IF($B187="","",VLOOKUP(TRIM($B187),NSN!$A:$B,2,FALSE))</f>
        <v>V000317</v>
      </c>
      <c r="B187" s="336" t="s">
        <v>84</v>
      </c>
      <c r="C187" s="544">
        <v>1669</v>
      </c>
      <c r="D187" s="338"/>
      <c r="E187" s="338" t="s">
        <v>15</v>
      </c>
      <c r="F187" s="339">
        <v>1000</v>
      </c>
      <c r="G187" s="339">
        <v>0.94499999999999995</v>
      </c>
      <c r="H187" s="339">
        <f>20/100</f>
        <v>0.2</v>
      </c>
      <c r="I187" s="339">
        <f>0.8/100</f>
        <v>8.0000000000000002E-3</v>
      </c>
      <c r="J187" s="339">
        <f>0.4/100</f>
        <v>4.0000000000000001E-3</v>
      </c>
      <c r="K187" s="339">
        <f>3.2/100</f>
        <v>3.2000000000000001E-2</v>
      </c>
      <c r="L187" s="549">
        <f>IF($A187="","",COUNTIF(LUNES!$B:$B,$A187)+COUNTIF(MARTES!$B:$B,$A187)+COUNTIF(MIERCOLES!$B:$B,$A187)+COUNTIF(JUEVES!$B:$B,$A187)+COUNTIF(VIERNES!$B:$B,$A187)+COUNTIF(SABADO!$B:$B,$A187)+COUNTIF(DOMINGO!$B:$B,$A187))</f>
        <v>6</v>
      </c>
      <c r="M187" s="96">
        <f>IF($A187="V000415",VLOOKUP($A187,BOLETIN!B:F,5,0),IFERROR(IFERROR(VLOOKUP($A187,CONSOLIDADO!$A:$D,4,0),VLOOKUP($A187,BOLETIN!$B:$F,5,0)),""))</f>
        <v>1669</v>
      </c>
    </row>
    <row r="188" spans="1:13" x14ac:dyDescent="0.2">
      <c r="A188" s="95" t="str">
        <f>IF($B188="","",VLOOKUP(TRIM($B188),NSN!$A:$B,2,FALSE))</f>
        <v>V000318</v>
      </c>
      <c r="B188" s="336" t="s">
        <v>227</v>
      </c>
      <c r="C188" s="544">
        <v>595</v>
      </c>
      <c r="D188" s="338"/>
      <c r="E188" s="338" t="s">
        <v>15</v>
      </c>
      <c r="F188" s="339">
        <v>1000</v>
      </c>
      <c r="G188" s="339">
        <v>1</v>
      </c>
      <c r="H188" s="339">
        <f>276/100</f>
        <v>2.76</v>
      </c>
      <c r="I188" s="339">
        <f>9.11/100</f>
        <v>9.11E-2</v>
      </c>
      <c r="J188" s="339">
        <f>7.43/100</f>
        <v>7.4299999999999991E-2</v>
      </c>
      <c r="K188" s="339">
        <f>63.94/100</f>
        <v>0.63939999999999997</v>
      </c>
      <c r="L188" s="549">
        <f>IF($A188="","",COUNTIF(LUNES!$B:$B,$A188)+COUNTIF(MARTES!$B:$B,$A188)+COUNTIF(MIERCOLES!$B:$B,$A188)+COUNTIF(JUEVES!$B:$B,$A188)+COUNTIF(VIERNES!$B:$B,$A188)+COUNTIF(SABADO!$B:$B,$A188)+COUNTIF(DOMINGO!$B:$B,$A188))</f>
        <v>0</v>
      </c>
      <c r="M188" s="96">
        <f>IF($A188="V000415",VLOOKUP($A188,BOLETIN!B:F,5,0),IFERROR(IFERROR(VLOOKUP($A188,CONSOLIDADO!$A:$D,4,0),VLOOKUP($A188,BOLETIN!$B:$F,5,0)),""))</f>
        <v>595</v>
      </c>
    </row>
    <row r="189" spans="1:13" x14ac:dyDescent="0.2">
      <c r="A189" s="95" t="str">
        <f>IF($B189="","",VLOOKUP(TRIM($B189),NSN!$A:$B,2,FALSE))</f>
        <v>V000320</v>
      </c>
      <c r="B189" s="336" t="s">
        <v>162</v>
      </c>
      <c r="C189" s="544">
        <v>2380</v>
      </c>
      <c r="D189" s="338"/>
      <c r="E189" s="338" t="s">
        <v>15</v>
      </c>
      <c r="F189" s="339">
        <v>1000</v>
      </c>
      <c r="G189" s="339">
        <v>1</v>
      </c>
      <c r="H189" s="339">
        <f>75/100</f>
        <v>0.75</v>
      </c>
      <c r="I189" s="339">
        <f>0.6/100</f>
        <v>6.0000000000000001E-3</v>
      </c>
      <c r="J189" s="339">
        <f>0.8/100</f>
        <v>8.0000000000000002E-3</v>
      </c>
      <c r="K189" s="339">
        <f>16.3/100</f>
        <v>0.16300000000000001</v>
      </c>
      <c r="L189" s="549">
        <f>IF($A189="","",COUNTIF(LUNES!$B:$B,$A189)+COUNTIF(MARTES!$B:$B,$A189)+COUNTIF(MIERCOLES!$B:$B,$A189)+COUNTIF(JUEVES!$B:$B,$A189)+COUNTIF(VIERNES!$B:$B,$A189)+COUNTIF(SABADO!$B:$B,$A189)+COUNTIF(DOMINGO!$B:$B,$A189))</f>
        <v>0</v>
      </c>
      <c r="M189" s="96">
        <f>IF($A189="V000415",VLOOKUP($A189,BOLETIN!B:F,5,0),IFERROR(IFERROR(VLOOKUP($A189,CONSOLIDADO!$A:$D,4,0),VLOOKUP($A189,BOLETIN!$B:$F,5,0)),""))</f>
        <v>2380</v>
      </c>
    </row>
    <row r="190" spans="1:13" x14ac:dyDescent="0.2">
      <c r="A190" s="95" t="str">
        <f>IF($B190="","",VLOOKUP(TRIM($B190),NSN!$A:$B,2,FALSE))</f>
        <v>C903337</v>
      </c>
      <c r="B190" s="336" t="s">
        <v>366</v>
      </c>
      <c r="C190" s="398" t="s">
        <v>1958</v>
      </c>
      <c r="D190" s="338"/>
      <c r="E190" s="338" t="s">
        <v>15</v>
      </c>
      <c r="F190" s="339">
        <v>1000</v>
      </c>
      <c r="G190" s="339">
        <v>0.70699999999999996</v>
      </c>
      <c r="H190" s="339">
        <f>145/100</f>
        <v>1.45</v>
      </c>
      <c r="I190" s="339">
        <f>23/100</f>
        <v>0.23</v>
      </c>
      <c r="J190" s="339">
        <f>5.6/100</f>
        <v>5.5999999999999994E-2</v>
      </c>
      <c r="K190" s="339">
        <f>0.6/100</f>
        <v>6.0000000000000001E-3</v>
      </c>
      <c r="L190" s="549">
        <f>IF($A190="","",COUNTIF(LUNES!$B:$B,$A190)+COUNTIF(MARTES!$B:$B,$A190)+COUNTIF(MIERCOLES!$B:$B,$A190)+COUNTIF(JUEVES!$B:$B,$A190)+COUNTIF(VIERNES!$B:$B,$A190)+COUNTIF(SABADO!$B:$B,$A190)+COUNTIF(DOMINGO!$B:$B,$A190))</f>
        <v>0</v>
      </c>
      <c r="M190" s="96">
        <f>IF($A190="V000415",VLOOKUP($A190,BOLETIN!B:F,5,0),IFERROR(IFERROR(VLOOKUP($A190,CONSOLIDADO!$A:$D,4,0),VLOOKUP($A190,BOLETIN!$B:$F,5,0)),""))</f>
        <v>6000</v>
      </c>
    </row>
    <row r="191" spans="1:13" x14ac:dyDescent="0.2">
      <c r="A191" s="95" t="str">
        <f>IF($B191="","",VLOOKUP(TRIM($B191),NSN!$A:$B,2,FALSE))</f>
        <v>C902472</v>
      </c>
      <c r="B191" s="336" t="s">
        <v>429</v>
      </c>
      <c r="C191" s="544">
        <v>4940</v>
      </c>
      <c r="D191" s="350"/>
      <c r="E191" s="350" t="s">
        <v>15</v>
      </c>
      <c r="F191" s="348">
        <v>1000</v>
      </c>
      <c r="G191" s="348">
        <v>0.64800000000000002</v>
      </c>
      <c r="H191" s="339">
        <f>130/100</f>
        <v>1.3</v>
      </c>
      <c r="I191" s="339">
        <f>21.5/100</f>
        <v>0.215</v>
      </c>
      <c r="J191" s="339">
        <f>4.2/100</f>
        <v>4.2000000000000003E-2</v>
      </c>
      <c r="K191" s="339">
        <f>4.3/100</f>
        <v>4.2999999999999997E-2</v>
      </c>
      <c r="L191" s="549">
        <f>IF($A191="","",COUNTIF(LUNES!$B:$B,$A191)+COUNTIF(MARTES!$B:$B,$A191)+COUNTIF(MIERCOLES!$B:$B,$A191)+COUNTIF(JUEVES!$B:$B,$A191)+COUNTIF(VIERNES!$B:$B,$A191)+COUNTIF(SABADO!$B:$B,$A191)+COUNTIF(DOMINGO!$B:$B,$A191))</f>
        <v>4</v>
      </c>
      <c r="M191" s="96">
        <f>IF($A191="V000415",VLOOKUP($A191,BOLETIN!B:F,5,0),IFERROR(IFERROR(VLOOKUP($A191,CONSOLIDADO!$A:$D,4,0),VLOOKUP($A191,BOLETIN!$B:$F,5,0)),""))</f>
        <v>4940</v>
      </c>
    </row>
    <row r="192" spans="1:13" x14ac:dyDescent="0.2">
      <c r="A192" s="95" t="str">
        <f>IF($B192="","",VLOOKUP(TRIM($B192),NSN!$A:$B,2,FALSE))</f>
        <v>C902473</v>
      </c>
      <c r="B192" s="336" t="s">
        <v>430</v>
      </c>
      <c r="C192" s="398" t="s">
        <v>1958</v>
      </c>
      <c r="D192" s="350"/>
      <c r="E192" s="350" t="s">
        <v>15</v>
      </c>
      <c r="F192" s="348">
        <v>1000</v>
      </c>
      <c r="G192" s="348">
        <v>0.7</v>
      </c>
      <c r="H192" s="339">
        <f>145/100</f>
        <v>1.45</v>
      </c>
      <c r="I192" s="339">
        <f>23/100</f>
        <v>0.23</v>
      </c>
      <c r="J192" s="339">
        <f>5.6/100</f>
        <v>5.5999999999999994E-2</v>
      </c>
      <c r="K192" s="339">
        <f>0.6/100</f>
        <v>6.0000000000000001E-3</v>
      </c>
      <c r="L192" s="549">
        <f>IF($A192="","",COUNTIF(LUNES!$B:$B,$A192)+COUNTIF(MARTES!$B:$B,$A192)+COUNTIF(MIERCOLES!$B:$B,$A192)+COUNTIF(JUEVES!$B:$B,$A192)+COUNTIF(VIERNES!$B:$B,$A192)+COUNTIF(SABADO!$B:$B,$A192)+COUNTIF(DOMINGO!$B:$B,$A192))</f>
        <v>0</v>
      </c>
      <c r="M192" s="96" t="str">
        <f>IF($A192="V000415",VLOOKUP($A192,BOLETIN!B:F,5,0),IFERROR(IFERROR(VLOOKUP($A192,CONSOLIDADO!$A:$D,4,0),VLOOKUP($A192,BOLETIN!$B:$F,5,0)),""))</f>
        <v/>
      </c>
    </row>
    <row r="193" spans="1:14" x14ac:dyDescent="0.2">
      <c r="A193" s="95" t="str">
        <f>IF($B193="","",VLOOKUP(TRIM($B193),NSN!$A:$B,2,FALSE))</f>
        <v>C903343</v>
      </c>
      <c r="B193" s="336" t="s">
        <v>376</v>
      </c>
      <c r="C193" s="543">
        <v>5750</v>
      </c>
      <c r="D193" s="350"/>
      <c r="E193" s="350" t="s">
        <v>15</v>
      </c>
      <c r="F193" s="348">
        <v>1000</v>
      </c>
      <c r="G193" s="348">
        <v>0.73599999999999999</v>
      </c>
      <c r="H193" s="339">
        <f>116/100</f>
        <v>1.1599999999999999</v>
      </c>
      <c r="I193" s="339">
        <f>22.2/100</f>
        <v>0.222</v>
      </c>
      <c r="J193" s="339">
        <f>2.5/100</f>
        <v>2.5000000000000001E-2</v>
      </c>
      <c r="K193" s="339">
        <f>1.1/100</f>
        <v>1.1000000000000001E-2</v>
      </c>
      <c r="L193" s="549">
        <f>IF($A193="","",COUNTIF(LUNES!$B:$B,$A193)+COUNTIF(MARTES!$B:$B,$A193)+COUNTIF(MIERCOLES!$B:$B,$A193)+COUNTIF(JUEVES!$B:$B,$A193)+COUNTIF(VIERNES!$B:$B,$A193)+COUNTIF(SABADO!$B:$B,$A193)+COUNTIF(DOMINGO!$B:$B,$A193))</f>
        <v>0</v>
      </c>
      <c r="M193" s="96">
        <f>IF($A193="V000415",VLOOKUP($A193,BOLETIN!B:F,5,0),IFERROR(IFERROR(VLOOKUP($A193,CONSOLIDADO!$A:$D,4,0),VLOOKUP($A193,BOLETIN!$B:$F,5,0)),""))</f>
        <v>5750</v>
      </c>
    </row>
    <row r="194" spans="1:14" x14ac:dyDescent="0.2">
      <c r="A194" s="95" t="str">
        <f>IF($B194="","",VLOOKUP(TRIM($B194),NSN!$A:$B,2,FALSE))</f>
        <v>C000009</v>
      </c>
      <c r="B194" s="336" t="s">
        <v>431</v>
      </c>
      <c r="C194" s="398" t="s">
        <v>1958</v>
      </c>
      <c r="D194" s="350"/>
      <c r="E194" s="350" t="s">
        <v>15</v>
      </c>
      <c r="F194" s="348">
        <v>1000</v>
      </c>
      <c r="G194" s="348">
        <v>0.70699999999999996</v>
      </c>
      <c r="H194" s="339">
        <f>130/100</f>
        <v>1.3</v>
      </c>
      <c r="I194" s="339">
        <f>23.6/100</f>
        <v>0.23600000000000002</v>
      </c>
      <c r="J194" s="339">
        <f>3.1/100</f>
        <v>3.1E-2</v>
      </c>
      <c r="K194" s="339">
        <f>1.8/100</f>
        <v>1.8000000000000002E-2</v>
      </c>
      <c r="L194" s="549">
        <f>IF($A194="","",COUNTIF(LUNES!$B:$B,$A194)+COUNTIF(MARTES!$B:$B,$A194)+COUNTIF(MIERCOLES!$B:$B,$A194)+COUNTIF(JUEVES!$B:$B,$A194)+COUNTIF(VIERNES!$B:$B,$A194)+COUNTIF(SABADO!$B:$B,$A194)+COUNTIF(DOMINGO!$B:$B,$A194))</f>
        <v>0</v>
      </c>
      <c r="M194" s="96">
        <f>IF($A194="V000415",VLOOKUP($A194,BOLETIN!B:F,5,0),IFERROR(IFERROR(VLOOKUP($A194,CONSOLIDADO!$A:$D,4,0),VLOOKUP($A194,BOLETIN!$B:$F,5,0)),""))</f>
        <v>5990</v>
      </c>
    </row>
    <row r="195" spans="1:14" x14ac:dyDescent="0.2">
      <c r="A195" s="95" t="str">
        <f>IF($B195="","",VLOOKUP(TRIM($B195),NSN!$A:$B,2,FALSE))</f>
        <v>C903344</v>
      </c>
      <c r="B195" s="336" t="s">
        <v>377</v>
      </c>
      <c r="C195" s="398" t="s">
        <v>1958</v>
      </c>
      <c r="D195" s="350"/>
      <c r="E195" s="350" t="s">
        <v>15</v>
      </c>
      <c r="F195" s="348">
        <v>1000</v>
      </c>
      <c r="G195" s="348">
        <v>0.70699999999999996</v>
      </c>
      <c r="H195" s="339">
        <f>116/100</f>
        <v>1.1599999999999999</v>
      </c>
      <c r="I195" s="339">
        <f>22.2/100</f>
        <v>0.222</v>
      </c>
      <c r="J195" s="339">
        <f>2.5/100</f>
        <v>2.5000000000000001E-2</v>
      </c>
      <c r="K195" s="339">
        <f>1.1/100</f>
        <v>1.1000000000000001E-2</v>
      </c>
      <c r="L195" s="549">
        <f>IF($A195="","",COUNTIF(LUNES!$B:$B,$A195)+COUNTIF(MARTES!$B:$B,$A195)+COUNTIF(MIERCOLES!$B:$B,$A195)+COUNTIF(JUEVES!$B:$B,$A195)+COUNTIF(VIERNES!$B:$B,$A195)+COUNTIF(SABADO!$B:$B,$A195)+COUNTIF(DOMINGO!$B:$B,$A195))</f>
        <v>0</v>
      </c>
      <c r="M195" s="96">
        <f>IF($A195="V000415",VLOOKUP($A195,BOLETIN!B:F,5,0),IFERROR(IFERROR(VLOOKUP($A195,CONSOLIDADO!$A:$D,4,0),VLOOKUP($A195,BOLETIN!$B:$F,5,0)),""))</f>
        <v>5750</v>
      </c>
    </row>
    <row r="196" spans="1:14" x14ac:dyDescent="0.2">
      <c r="A196" s="95" t="str">
        <f>IF($B196="","",VLOOKUP(TRIM($B196),NSN!$A:$B,2,FALSE))</f>
        <v>C000010</v>
      </c>
      <c r="B196" s="336" t="s">
        <v>432</v>
      </c>
      <c r="C196" s="544">
        <v>5890</v>
      </c>
      <c r="D196" s="350"/>
      <c r="E196" s="350" t="s">
        <v>15</v>
      </c>
      <c r="F196" s="348">
        <v>1000</v>
      </c>
      <c r="G196" s="348">
        <v>0.70799999999999996</v>
      </c>
      <c r="H196" s="339">
        <f>127/100</f>
        <v>1.27</v>
      </c>
      <c r="I196" s="339">
        <f>21.2/100</f>
        <v>0.21199999999999999</v>
      </c>
      <c r="J196" s="339">
        <f>2.8/100</f>
        <v>2.7999999999999997E-2</v>
      </c>
      <c r="K196" s="339">
        <f>4.3/100</f>
        <v>4.2999999999999997E-2</v>
      </c>
      <c r="L196" s="549">
        <f>IF($A196="","",COUNTIF(LUNES!$B:$B,$A196)+COUNTIF(MARTES!$B:$B,$A196)+COUNTIF(MIERCOLES!$B:$B,$A196)+COUNTIF(JUEVES!$B:$B,$A196)+COUNTIF(VIERNES!$B:$B,$A196)+COUNTIF(SABADO!$B:$B,$A196)+COUNTIF(DOMINGO!$B:$B,$A196))</f>
        <v>2</v>
      </c>
      <c r="M196" s="96">
        <f>IF($A196="V000415",VLOOKUP($A196,BOLETIN!B:F,5,0),IFERROR(IFERROR(VLOOKUP($A196,CONSOLIDADO!$A:$D,4,0),VLOOKUP($A196,BOLETIN!$B:$F,5,0)),""))</f>
        <v>5890</v>
      </c>
    </row>
    <row r="197" spans="1:14" x14ac:dyDescent="0.2">
      <c r="A197" s="95" t="str">
        <f>IF($B197="","",VLOOKUP(TRIM($B197),NSN!$A:$B,2,FALSE))</f>
        <v>C903422</v>
      </c>
      <c r="B197" s="336" t="s">
        <v>1953</v>
      </c>
      <c r="C197" s="398" t="s">
        <v>1958</v>
      </c>
      <c r="D197" s="350"/>
      <c r="E197" s="350" t="s">
        <v>15</v>
      </c>
      <c r="F197" s="348">
        <v>1000</v>
      </c>
      <c r="G197" s="348">
        <v>0.71799999999999997</v>
      </c>
      <c r="H197" s="339">
        <f>123/100</f>
        <v>1.23</v>
      </c>
      <c r="I197" s="339">
        <f>21.4/100</f>
        <v>0.214</v>
      </c>
      <c r="J197" s="339">
        <f>3.1/100</f>
        <v>3.1E-2</v>
      </c>
      <c r="K197" s="339">
        <f>2.4/100</f>
        <v>2.4E-2</v>
      </c>
      <c r="L197" s="549">
        <f>IF($A197="","",COUNTIF(LUNES!$B:$B,$A197)+COUNTIF(MARTES!$B:$B,$A197)+COUNTIF(MIERCOLES!$B:$B,$A197)+COUNTIF(JUEVES!$B:$B,$A197)+COUNTIF(VIERNES!$B:$B,$A197)+COUNTIF(SABADO!$B:$B,$A197)+COUNTIF(DOMINGO!$B:$B,$A197))</f>
        <v>0</v>
      </c>
      <c r="M197" s="96" t="str">
        <f>IF($A197="V000415",VLOOKUP($A197,BOLETIN!B:F,5,0),IFERROR(IFERROR(VLOOKUP($A197,CONSOLIDADO!$A:$D,4,0),VLOOKUP($A197,BOLETIN!$B:$F,5,0)),""))</f>
        <v/>
      </c>
    </row>
    <row r="198" spans="1:14" x14ac:dyDescent="0.2">
      <c r="A198" s="95" t="str">
        <f>IF($B198="","",VLOOKUP(TRIM($B198),NSN!$A:$B,2,FALSE))</f>
        <v>C903359</v>
      </c>
      <c r="B198" s="336" t="s">
        <v>433</v>
      </c>
      <c r="C198" s="544">
        <v>5330</v>
      </c>
      <c r="D198" s="350"/>
      <c r="E198" s="350" t="s">
        <v>15</v>
      </c>
      <c r="F198" s="348">
        <v>1000</v>
      </c>
      <c r="G198" s="348">
        <v>0.71799999999999997</v>
      </c>
      <c r="H198" s="339">
        <f>123/100</f>
        <v>1.23</v>
      </c>
      <c r="I198" s="339">
        <f>21.4/100</f>
        <v>0.214</v>
      </c>
      <c r="J198" s="339">
        <f>3.1/100</f>
        <v>3.1E-2</v>
      </c>
      <c r="K198" s="339">
        <f>2.4/100</f>
        <v>2.4E-2</v>
      </c>
      <c r="L198" s="549">
        <f>IF($A198="","",COUNTIF(LUNES!$B:$B,$A198)+COUNTIF(MARTES!$B:$B,$A198)+COUNTIF(MIERCOLES!$B:$B,$A198)+COUNTIF(JUEVES!$B:$B,$A198)+COUNTIF(VIERNES!$B:$B,$A198)+COUNTIF(SABADO!$B:$B,$A198)+COUNTIF(DOMINGO!$B:$B,$A198))</f>
        <v>1</v>
      </c>
      <c r="M198" s="96">
        <f>IF($A198="V000415",VLOOKUP($A198,BOLETIN!B:F,5,0),IFERROR(IFERROR(VLOOKUP($A198,CONSOLIDADO!$A:$D,4,0),VLOOKUP($A198,BOLETIN!$B:$F,5,0)),""))</f>
        <v>5330</v>
      </c>
    </row>
    <row r="199" spans="1:14" x14ac:dyDescent="0.2">
      <c r="A199" s="95" t="str">
        <f>IF($B199="","",VLOOKUP(TRIM($B199),NSN!$A:$B,2,FALSE))</f>
        <v>C903448</v>
      </c>
      <c r="B199" s="336" t="s">
        <v>2030</v>
      </c>
      <c r="C199" s="398" t="s">
        <v>1958</v>
      </c>
      <c r="D199" s="350"/>
      <c r="E199" s="350" t="s">
        <v>15</v>
      </c>
      <c r="F199" s="348">
        <v>1000</v>
      </c>
      <c r="G199" s="348">
        <v>0.71799999999999997</v>
      </c>
      <c r="H199" s="339">
        <f>123/100</f>
        <v>1.23</v>
      </c>
      <c r="I199" s="339">
        <f>21.4/100</f>
        <v>0.214</v>
      </c>
      <c r="J199" s="339">
        <f>3.1/100</f>
        <v>3.1E-2</v>
      </c>
      <c r="K199" s="339">
        <f>2.4/100</f>
        <v>2.4E-2</v>
      </c>
      <c r="L199" s="549">
        <f>IF($A199="","",COUNTIF(LUNES!$B:$B,$A199)+COUNTIF(MARTES!$B:$B,$A199)+COUNTIF(MIERCOLES!$B:$B,$A199)+COUNTIF(JUEVES!$B:$B,$A199)+COUNTIF(VIERNES!$B:$B,$A199)+COUNTIF(SABADO!$B:$B,$A199)+COUNTIF(DOMINGO!$B:$B,$A199))</f>
        <v>0</v>
      </c>
      <c r="M199" s="96">
        <f>IF($A199="V000415",VLOOKUP($A199,BOLETIN!B:F,5,0),IFERROR(IFERROR(VLOOKUP($A199,CONSOLIDADO!$A:$D,4,0),VLOOKUP($A199,BOLETIN!$B:$F,5,0)),""))</f>
        <v>5800</v>
      </c>
    </row>
    <row r="200" spans="1:14" x14ac:dyDescent="0.2">
      <c r="A200" s="95" t="str">
        <f>IF($B200="","",VLOOKUP(TRIM($B200),NSN!$A:$B,2,FALSE))</f>
        <v>V000323</v>
      </c>
      <c r="B200" s="336" t="s">
        <v>229</v>
      </c>
      <c r="C200" s="544">
        <v>2330</v>
      </c>
      <c r="D200" s="350"/>
      <c r="E200" s="350" t="s">
        <v>231</v>
      </c>
      <c r="F200" s="348">
        <v>100</v>
      </c>
      <c r="G200" s="348">
        <v>1</v>
      </c>
      <c r="H200" s="339">
        <f>78/100</f>
        <v>0.78</v>
      </c>
      <c r="I200" s="339">
        <f>0/100</f>
        <v>0</v>
      </c>
      <c r="J200" s="339">
        <f>0/100</f>
        <v>0</v>
      </c>
      <c r="K200" s="339">
        <f>19/100</f>
        <v>0.19</v>
      </c>
      <c r="L200" s="549">
        <f>IF($A200="","",COUNTIF(LUNES!$B:$B,$A200)+COUNTIF(MARTES!$B:$B,$A200)+COUNTIF(MIERCOLES!$B:$B,$A200)+COUNTIF(JUEVES!$B:$B,$A200)+COUNTIF(VIERNES!$B:$B,$A200)+COUNTIF(SABADO!$B:$B,$A200)+COUNTIF(DOMINGO!$B:$B,$A200))</f>
        <v>0</v>
      </c>
      <c r="M200" s="96">
        <f>IF($A200="V000415",VLOOKUP($A200,BOLETIN!B:F,5,0),IFERROR(IFERROR(VLOOKUP($A200,CONSOLIDADO!$A:$D,4,0),VLOOKUP($A200,BOLETIN!$B:$F,5,0)),""))</f>
        <v>2330</v>
      </c>
    </row>
    <row r="201" spans="1:14" x14ac:dyDescent="0.2">
      <c r="A201" s="95" t="str">
        <f>IF($B201="","",VLOOKUP(TRIM($B201),NSN!$A:$B,2,FALSE))</f>
        <v>V000642</v>
      </c>
      <c r="B201" s="336" t="s">
        <v>497</v>
      </c>
      <c r="C201" s="544">
        <v>3583</v>
      </c>
      <c r="D201" s="350"/>
      <c r="E201" s="350" t="s">
        <v>909</v>
      </c>
      <c r="F201" s="348">
        <v>50</v>
      </c>
      <c r="G201" s="348">
        <v>1</v>
      </c>
      <c r="H201" s="339">
        <f>78/100</f>
        <v>0.78</v>
      </c>
      <c r="I201" s="339">
        <f>0/100</f>
        <v>0</v>
      </c>
      <c r="J201" s="339">
        <f>0/100</f>
        <v>0</v>
      </c>
      <c r="K201" s="339">
        <f>19/100</f>
        <v>0.19</v>
      </c>
      <c r="L201" s="549">
        <f>IF($A201="","",COUNTIF(LUNES!$B:$B,$A201)+COUNTIF(MARTES!$B:$B,$A201)+COUNTIF(MIERCOLES!$B:$B,$A201)+COUNTIF(JUEVES!$B:$B,$A201)+COUNTIF(VIERNES!$B:$B,$A201)+COUNTIF(SABADO!$B:$B,$A201)+COUNTIF(DOMINGO!$B:$B,$A201))</f>
        <v>0</v>
      </c>
      <c r="M201" s="96">
        <f>IF($A201="V000415",VLOOKUP($A201,BOLETIN!B:F,5,0),IFERROR(IFERROR(VLOOKUP($A201,CONSOLIDADO!$A:$D,4,0),VLOOKUP($A201,BOLETIN!$B:$F,5,0)),""))</f>
        <v>3583</v>
      </c>
    </row>
    <row r="202" spans="1:14" x14ac:dyDescent="0.2">
      <c r="A202" s="95" t="str">
        <f>IF($B202="","",VLOOKUP(TRIM($B202),NSN!$A:$B,2,FALSE))</f>
        <v>V000324</v>
      </c>
      <c r="B202" s="336" t="s">
        <v>22</v>
      </c>
      <c r="C202" s="544">
        <v>3513</v>
      </c>
      <c r="D202" s="350"/>
      <c r="E202" s="350" t="s">
        <v>15</v>
      </c>
      <c r="F202" s="348">
        <v>1000</v>
      </c>
      <c r="G202" s="348">
        <v>1</v>
      </c>
      <c r="H202" s="339">
        <f>322/100</f>
        <v>3.22</v>
      </c>
      <c r="I202" s="339">
        <f>12.5/100</f>
        <v>0.125</v>
      </c>
      <c r="J202" s="339">
        <f>29.7/100</f>
        <v>0.29699999999999999</v>
      </c>
      <c r="K202" s="339">
        <f>1/100</f>
        <v>0.01</v>
      </c>
      <c r="L202" s="549">
        <f>IF($A202="","",COUNTIF(LUNES!$B:$B,$A202)+COUNTIF(MARTES!$B:$B,$A202)+COUNTIF(MIERCOLES!$B:$B,$A202)+COUNTIF(JUEVES!$B:$B,$A202)+COUNTIF(VIERNES!$B:$B,$A202)+COUNTIF(SABADO!$B:$B,$A202)+COUNTIF(DOMINGO!$B:$B,$A202))</f>
        <v>1</v>
      </c>
      <c r="M202" s="96">
        <f>IF($A202="V000415",VLOOKUP($A202,BOLETIN!B:F,5,0),IFERROR(IFERROR(VLOOKUP($A202,CONSOLIDADO!$A:$D,4,0),VLOOKUP($A202,BOLETIN!$B:$F,5,0)),""))</f>
        <v>3513</v>
      </c>
      <c r="N202" s="335" t="s">
        <v>246</v>
      </c>
    </row>
    <row r="203" spans="1:14" x14ac:dyDescent="0.2">
      <c r="A203" s="95" t="str">
        <f>IF($B203="","",VLOOKUP(TRIM($B203),NSN!$A:$B,2,FALSE))</f>
        <v>V000453</v>
      </c>
      <c r="B203" s="336" t="s">
        <v>164</v>
      </c>
      <c r="C203" s="544">
        <v>2120</v>
      </c>
      <c r="D203" s="338"/>
      <c r="E203" s="338" t="s">
        <v>245</v>
      </c>
      <c r="F203" s="339">
        <v>500</v>
      </c>
      <c r="G203" s="339">
        <v>1</v>
      </c>
      <c r="H203" s="339">
        <f>18/100</f>
        <v>0.18</v>
      </c>
      <c r="I203" s="339">
        <f>0/100</f>
        <v>0</v>
      </c>
      <c r="J203" s="339">
        <f>0/100</f>
        <v>0</v>
      </c>
      <c r="K203" s="339">
        <f>0.04/100</f>
        <v>4.0000000000000002E-4</v>
      </c>
      <c r="L203" s="549">
        <f>IF($A203="","",COUNTIF(LUNES!$B:$B,$A203)+COUNTIF(MARTES!$B:$B,$A203)+COUNTIF(MIERCOLES!$B:$B,$A203)+COUNTIF(JUEVES!$B:$B,$A203)+COUNTIF(VIERNES!$B:$B,$A203)+COUNTIF(SABADO!$B:$B,$A203)+COUNTIF(DOMINGO!$B:$B,$A203))</f>
        <v>0</v>
      </c>
      <c r="M203" s="96">
        <f>IF($A203="V000415",VLOOKUP($A203,BOLETIN!B:F,5,0),IFERROR(IFERROR(VLOOKUP($A203,CONSOLIDADO!$A:$D,4,0),VLOOKUP($A203,BOLETIN!$B:$F,5,0)),""))</f>
        <v>2120</v>
      </c>
    </row>
    <row r="204" spans="1:14" x14ac:dyDescent="0.2">
      <c r="A204" s="95" t="str">
        <f>IF($B204="","",VLOOKUP(TRIM($B204),NSN!$A:$B,2,FALSE))</f>
        <v>V000755</v>
      </c>
      <c r="B204" s="336" t="s">
        <v>166</v>
      </c>
      <c r="C204" s="344">
        <v>431</v>
      </c>
      <c r="D204" s="350"/>
      <c r="E204" s="350" t="s">
        <v>247</v>
      </c>
      <c r="F204" s="348">
        <v>125</v>
      </c>
      <c r="G204" s="348">
        <v>1</v>
      </c>
      <c r="H204" s="339">
        <f>41/100</f>
        <v>0.41</v>
      </c>
      <c r="I204" s="339">
        <f>3.9/100</f>
        <v>3.9E-2</v>
      </c>
      <c r="J204" s="339">
        <f>0.1/100</f>
        <v>1E-3</v>
      </c>
      <c r="K204" s="339">
        <f>6.2/100</f>
        <v>6.2E-2</v>
      </c>
      <c r="L204" s="549">
        <f>IF($A204="","",COUNTIF(LUNES!$B:$B,$A204)+COUNTIF(MARTES!$B:$B,$A204)+COUNTIF(MIERCOLES!$B:$B,$A204)+COUNTIF(JUEVES!$B:$B,$A204)+COUNTIF(VIERNES!$B:$B,$A204)+COUNTIF(SABADO!$B:$B,$A204)+COUNTIF(DOMINGO!$B:$B,$A204))</f>
        <v>0</v>
      </c>
      <c r="M204" s="96" t="str">
        <f>IF($A204="V000415",VLOOKUP($A204,BOLETIN!B:F,5,0),IFERROR(IFERROR(VLOOKUP($A204,CONSOLIDADO!$A:$D,4,0),VLOOKUP($A204,BOLETIN!$B:$F,5,0)),""))</f>
        <v/>
      </c>
    </row>
    <row r="205" spans="1:14" x14ac:dyDescent="0.2">
      <c r="A205" s="95" t="str">
        <f>IF($B205="","",VLOOKUP(TRIM($B205),NSN!$A:$B,2,FALSE))</f>
        <v>V000330</v>
      </c>
      <c r="B205" s="336" t="s">
        <v>199</v>
      </c>
      <c r="C205" s="544">
        <v>1287</v>
      </c>
      <c r="D205" s="338"/>
      <c r="E205" s="338" t="s">
        <v>15</v>
      </c>
      <c r="F205" s="339">
        <v>1000</v>
      </c>
      <c r="G205" s="339">
        <v>0.90200000000000002</v>
      </c>
      <c r="H205" s="339">
        <f>86/100</f>
        <v>0.86</v>
      </c>
      <c r="I205" s="339">
        <f>0.9/100</f>
        <v>9.0000000000000011E-3</v>
      </c>
      <c r="J205" s="339">
        <f>0.5/100</f>
        <v>5.0000000000000001E-3</v>
      </c>
      <c r="K205" s="339">
        <f>8.1/100</f>
        <v>8.1000000000000003E-2</v>
      </c>
      <c r="L205" s="549">
        <f>IF($A205="","",COUNTIF(LUNES!$B:$B,$A205)+COUNTIF(MARTES!$B:$B,$A205)+COUNTIF(MIERCOLES!$B:$B,$A205)+COUNTIF(JUEVES!$B:$B,$A205)+COUNTIF(VIERNES!$B:$B,$A205)+COUNTIF(SABADO!$B:$B,$A205)+COUNTIF(DOMINGO!$B:$B,$A205))</f>
        <v>10</v>
      </c>
      <c r="M205" s="96">
        <f>IF($A205="V000415",VLOOKUP($A205,BOLETIN!B:F,5,0),IFERROR(IFERROR(VLOOKUP($A205,CONSOLIDADO!$A:$D,4,0),VLOOKUP($A205,BOLETIN!$B:$F,5,0)),""))</f>
        <v>1287</v>
      </c>
      <c r="N205" s="335" t="s">
        <v>206</v>
      </c>
    </row>
    <row r="206" spans="1:14" x14ac:dyDescent="0.2">
      <c r="A206" s="95" t="str">
        <f>IF($B206="","",VLOOKUP(TRIM($B206),NSN!$A:$B,2,FALSE))</f>
        <v>V000332</v>
      </c>
      <c r="B206" s="336" t="s">
        <v>16</v>
      </c>
      <c r="C206" s="544">
        <v>1456</v>
      </c>
      <c r="D206" s="350"/>
      <c r="E206" s="350" t="s">
        <v>15</v>
      </c>
      <c r="F206" s="348">
        <v>1000</v>
      </c>
      <c r="G206" s="348">
        <v>0.93700000000000006</v>
      </c>
      <c r="H206" s="339">
        <f>34/100</f>
        <v>0.34</v>
      </c>
      <c r="I206" s="339">
        <f>0.2/100</f>
        <v>2E-3</v>
      </c>
      <c r="J206" s="339">
        <f>0.6/100</f>
        <v>6.0000000000000001E-3</v>
      </c>
      <c r="K206" s="339">
        <f>7/100</f>
        <v>7.0000000000000007E-2</v>
      </c>
      <c r="L206" s="549">
        <f>IF($A206="","",COUNTIF(LUNES!$B:$B,$A206)+COUNTIF(MARTES!$B:$B,$A206)+COUNTIF(MIERCOLES!$B:$B,$A206)+COUNTIF(JUEVES!$B:$B,$A206)+COUNTIF(VIERNES!$B:$B,$A206)+COUNTIF(SABADO!$B:$B,$A206)+COUNTIF(DOMINGO!$B:$B,$A206))</f>
        <v>4</v>
      </c>
      <c r="M206" s="96">
        <f>IF($A206="V000415",VLOOKUP($A206,BOLETIN!B:F,5,0),IFERROR(IFERROR(VLOOKUP($A206,CONSOLIDADO!$A:$D,4,0),VLOOKUP($A206,BOLETIN!$B:$F,5,0)),""))</f>
        <v>1456</v>
      </c>
    </row>
    <row r="207" spans="1:14" x14ac:dyDescent="0.2">
      <c r="A207" s="95" t="str">
        <f>IF($B207="","",VLOOKUP(TRIM($B207),NSN!$A:$B,2,FALSE))</f>
        <v>V000333</v>
      </c>
      <c r="B207" s="336" t="s">
        <v>615</v>
      </c>
      <c r="C207" s="544">
        <v>796</v>
      </c>
      <c r="D207" s="351"/>
      <c r="E207" s="350" t="s">
        <v>255</v>
      </c>
      <c r="F207" s="348">
        <v>250</v>
      </c>
      <c r="G207" s="348">
        <v>0.94799999999999995</v>
      </c>
      <c r="H207" s="339">
        <f>17/100</f>
        <v>0.17</v>
      </c>
      <c r="I207" s="339">
        <f>1.3/100</f>
        <v>1.3000000000000001E-2</v>
      </c>
      <c r="J207" s="339">
        <f>0.3/100</f>
        <v>3.0000000000000001E-3</v>
      </c>
      <c r="K207" s="339">
        <f>2.3/100</f>
        <v>2.3E-2</v>
      </c>
      <c r="L207" s="549">
        <f>IF($A207="","",COUNTIF(LUNES!$B:$B,$A207)+COUNTIF(MARTES!$B:$B,$A207)+COUNTIF(MIERCOLES!$B:$B,$A207)+COUNTIF(JUEVES!$B:$B,$A207)+COUNTIF(VIERNES!$B:$B,$A207)+COUNTIF(SABADO!$B:$B,$A207)+COUNTIF(DOMINGO!$B:$B,$A207))</f>
        <v>3</v>
      </c>
      <c r="M207" s="96">
        <f>IF($A207="V000415",VLOOKUP($A207,BOLETIN!B:F,5,0),IFERROR(IFERROR(VLOOKUP($A207,CONSOLIDADO!$A:$D,4,0),VLOOKUP($A207,BOLETIN!$B:$F,5,0)),""))</f>
        <v>796</v>
      </c>
    </row>
  </sheetData>
  <phoneticPr fontId="3" type="noConversion"/>
  <conditionalFormatting sqref="B2:B207">
    <cfRule type="expression" dxfId="2" priority="1" stopIfTrue="1">
      <formula>$L2&gt;0</formula>
    </cfRule>
  </conditionalFormatting>
  <printOptions gridLines="1"/>
  <pageMargins left="0.25" right="0.25" top="0.75" bottom="0.75" header="0.3" footer="0.3"/>
  <pageSetup scale="65" firstPageNumber="0" fitToHeight="7" orientation="portrait" r:id="rId1"/>
  <headerFooter alignWithMargins="0">
    <oddHeader>&amp;C&amp;A</oddHeader>
    <oddFooter>&amp;CPágina &amp;P</oddFooter>
  </headerFooter>
  <ignoredErrors>
    <ignoredError sqref="J134 J100:J101" formula="1"/>
  </ignoredError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8"/>
  <sheetViews>
    <sheetView showGridLines="0" zoomScale="85" zoomScaleNormal="85" workbookViewId="0">
      <selection activeCell="A215" sqref="A215"/>
    </sheetView>
  </sheetViews>
  <sheetFormatPr baseColWidth="10" defaultRowHeight="12.75" x14ac:dyDescent="0.2"/>
  <cols>
    <col min="1" max="1" width="9.140625" bestFit="1" customWidth="1"/>
    <col min="2" max="2" width="44.28515625" bestFit="1" customWidth="1"/>
    <col min="3" max="3" width="14.5703125" style="444" bestFit="1" customWidth="1"/>
    <col min="4" max="10" width="6.42578125" bestFit="1" customWidth="1"/>
    <col min="11" max="11" width="10.28515625" style="450" bestFit="1" customWidth="1"/>
    <col min="12" max="12" width="11.7109375" style="386" customWidth="1"/>
  </cols>
  <sheetData>
    <row r="1" spans="1:12" ht="9.6" customHeight="1" thickBot="1" x14ac:dyDescent="0.25"/>
    <row r="2" spans="1:12" ht="13.5" thickBot="1" x14ac:dyDescent="0.25">
      <c r="D2" s="600" t="s">
        <v>2271</v>
      </c>
      <c r="E2" s="601"/>
      <c r="F2" s="601"/>
      <c r="G2" s="601"/>
      <c r="H2" s="601"/>
      <c r="I2" s="601"/>
      <c r="J2" s="601"/>
      <c r="K2" s="602"/>
      <c r="L2" s="603" t="s">
        <v>2272</v>
      </c>
    </row>
    <row r="3" spans="1:12" ht="13.5" thickBot="1" x14ac:dyDescent="0.25">
      <c r="A3" s="446" t="s">
        <v>643</v>
      </c>
      <c r="B3" s="447" t="s">
        <v>30</v>
      </c>
      <c r="C3" s="453" t="s">
        <v>18</v>
      </c>
      <c r="D3" s="451" t="s">
        <v>2263</v>
      </c>
      <c r="E3" s="448" t="s">
        <v>2264</v>
      </c>
      <c r="F3" s="448" t="s">
        <v>2265</v>
      </c>
      <c r="G3" s="448" t="s">
        <v>2266</v>
      </c>
      <c r="H3" s="448" t="s">
        <v>2267</v>
      </c>
      <c r="I3" s="448" t="s">
        <v>2268</v>
      </c>
      <c r="J3" s="458" t="s">
        <v>2269</v>
      </c>
      <c r="K3" s="460" t="s">
        <v>2270</v>
      </c>
      <c r="L3" s="604"/>
    </row>
    <row r="4" spans="1:12" x14ac:dyDescent="0.2">
      <c r="A4" s="454" t="str">
        <f>IF(CODIGOS!$A2="","",CODIGOS!$A2)</f>
        <v>C902637</v>
      </c>
      <c r="B4" s="445" t="str">
        <f>IF(CODIGOS!$B2="","",CODIGOS!$B2)</f>
        <v>ACEITE CANOLA</v>
      </c>
      <c r="C4" s="455" t="str">
        <f>IF(CODIGOS!$E2="","",CODIGOS!$E2)</f>
        <v>LT.</v>
      </c>
      <c r="D4" s="452">
        <f>IF($A4="","",SUMIF(LUNES!$B:$B,$A4,LUNES!$D:$D))</f>
        <v>0</v>
      </c>
      <c r="E4" s="449">
        <f>IF($A4="","",SUMIF(MARTES!$B:$B,$A4,MARTES!$D:$D))</f>
        <v>0</v>
      </c>
      <c r="F4" s="449">
        <f>IF($A4="","",SUMIF(MIERCOLES!$B:$B,$A4,MIERCOLES!$D:$D))</f>
        <v>0</v>
      </c>
      <c r="G4" s="449">
        <f>IF($A4="","",SUMIF(JUEVES!$B:$B,$A4,JUEVES!$D:$D))</f>
        <v>0</v>
      </c>
      <c r="H4" s="449">
        <f>IF($A4="","",SUMIF(VIERNES!$B:$B,$A4,VIERNES!$D:$D))</f>
        <v>0</v>
      </c>
      <c r="I4" s="449">
        <f>IF($A4="","",SUMIF(SABADO!$B:$B,$A4,SABADO!$D:$D))</f>
        <v>0</v>
      </c>
      <c r="J4" s="459">
        <f>IF($A4="","",SUMIF(DOMINGO!$B:$B,$A4,DOMINGO!$D:$D))</f>
        <v>0</v>
      </c>
      <c r="K4" s="461">
        <f>IF($A4="","",SUM($D4:$J4))</f>
        <v>0</v>
      </c>
      <c r="L4" s="462">
        <f>IF(K4="","",K4*4)</f>
        <v>0</v>
      </c>
    </row>
    <row r="5" spans="1:12" x14ac:dyDescent="0.2">
      <c r="A5" s="456" t="str">
        <f>IF(CODIGOS!$A3="","",CODIGOS!$A3)</f>
        <v>C902636</v>
      </c>
      <c r="B5" s="443" t="str">
        <f>IF(CODIGOS!$B3="","",CODIGOS!$B3)</f>
        <v>ACEITE 900 ML</v>
      </c>
      <c r="C5" s="457" t="str">
        <f>IF(CODIGOS!$E3="","",CODIGOS!$E3)</f>
        <v>900 ML</v>
      </c>
      <c r="D5" s="452">
        <f>IF($A5="","",SUMIF(LUNES!$B:$B,$A5,LUNES!$D:$D))</f>
        <v>7.8000000000000007</v>
      </c>
      <c r="E5" s="449">
        <f>IF($A5="","",SUMIF(MARTES!$B:$B,$A5,MARTES!$D:$D))</f>
        <v>2.8</v>
      </c>
      <c r="F5" s="449">
        <f>IF($A5="","",SUMIF(MIERCOLES!$B:$B,$A5,MIERCOLES!$D:$D))</f>
        <v>3.1999999999999997</v>
      </c>
      <c r="G5" s="449">
        <f>IF($A5="","",SUMIF(JUEVES!$B:$B,$A5,JUEVES!$D:$D))</f>
        <v>2.4</v>
      </c>
      <c r="H5" s="449">
        <f>IF($A5="","",SUMIF(VIERNES!$B:$B,$A5,VIERNES!$D:$D))</f>
        <v>4.8</v>
      </c>
      <c r="I5" s="449">
        <f>IF($A5="","",SUMIF(SABADO!$B:$B,$A5,SABADO!$D:$D))</f>
        <v>1.2000000000000002</v>
      </c>
      <c r="J5" s="459">
        <f>IF($A5="","",SUMIF(DOMINGO!$B:$B,$A5,DOMINGO!$D:$D))</f>
        <v>1.2000000000000002</v>
      </c>
      <c r="K5" s="461">
        <f t="shared" ref="K5:K68" si="0">IF($A5="","",SUM($D5:$J5))</f>
        <v>23.4</v>
      </c>
      <c r="L5" s="462">
        <f t="shared" ref="L5:L68" si="1">IF(K5="","",K5*4)</f>
        <v>93.6</v>
      </c>
    </row>
    <row r="6" spans="1:12" x14ac:dyDescent="0.2">
      <c r="A6" s="456" t="str">
        <f>IF(CODIGOS!$A4="","",CODIGOS!$A4)</f>
        <v>C903420</v>
      </c>
      <c r="B6" s="443" t="str">
        <f>IF(CODIGOS!$B4="","",CODIGOS!$B4)</f>
        <v>ACEITE VEGETAL LT</v>
      </c>
      <c r="C6" s="457" t="str">
        <f>IF(CODIGOS!$E4="","",CODIGOS!$E4)</f>
        <v>LT</v>
      </c>
      <c r="D6" s="452">
        <f>IF($A6="","",SUMIF(LUNES!$B:$B,$A6,LUNES!$D:$D))</f>
        <v>0</v>
      </c>
      <c r="E6" s="449">
        <f>IF($A6="","",SUMIF(MARTES!$B:$B,$A6,MARTES!$D:$D))</f>
        <v>0</v>
      </c>
      <c r="F6" s="449">
        <f>IF($A6="","",SUMIF(MIERCOLES!$B:$B,$A6,MIERCOLES!$D:$D))</f>
        <v>0</v>
      </c>
      <c r="G6" s="449">
        <f>IF($A6="","",SUMIF(JUEVES!$B:$B,$A6,JUEVES!$D:$D))</f>
        <v>0</v>
      </c>
      <c r="H6" s="449">
        <f>IF($A6="","",SUMIF(VIERNES!$B:$B,$A6,VIERNES!$D:$D))</f>
        <v>0</v>
      </c>
      <c r="I6" s="449">
        <f>IF($A6="","",SUMIF(SABADO!$B:$B,$A6,SABADO!$D:$D))</f>
        <v>0</v>
      </c>
      <c r="J6" s="459">
        <f>IF($A6="","",SUMIF(DOMINGO!$B:$B,$A6,DOMINGO!$D:$D))</f>
        <v>0</v>
      </c>
      <c r="K6" s="461">
        <f t="shared" si="0"/>
        <v>0</v>
      </c>
      <c r="L6" s="462">
        <f t="shared" si="1"/>
        <v>0</v>
      </c>
    </row>
    <row r="7" spans="1:12" x14ac:dyDescent="0.2">
      <c r="A7" s="456" t="str">
        <f>IF(CODIGOS!$A5="","",CODIGOS!$A5)</f>
        <v>C902841</v>
      </c>
      <c r="B7" s="443" t="str">
        <f>IF(CODIGOS!$B5="","",CODIGOS!$B5)</f>
        <v>ACEITE DE OLIVA</v>
      </c>
      <c r="C7" s="457" t="str">
        <f>IF(CODIGOS!$E5="","",CODIGOS!$E5)</f>
        <v>LT</v>
      </c>
      <c r="D7" s="452">
        <f>IF($A7="","",SUMIF(LUNES!$B:$B,$A7,LUNES!$D:$D))</f>
        <v>0</v>
      </c>
      <c r="E7" s="449">
        <f>IF($A7="","",SUMIF(MARTES!$B:$B,$A7,MARTES!$D:$D))</f>
        <v>0</v>
      </c>
      <c r="F7" s="449">
        <f>IF($A7="","",SUMIF(MIERCOLES!$B:$B,$A7,MIERCOLES!$D:$D))</f>
        <v>0</v>
      </c>
      <c r="G7" s="449">
        <f>IF($A7="","",SUMIF(JUEVES!$B:$B,$A7,JUEVES!$D:$D))</f>
        <v>0</v>
      </c>
      <c r="H7" s="449">
        <f>IF($A7="","",SUMIF(VIERNES!$B:$B,$A7,VIERNES!$D:$D))</f>
        <v>0</v>
      </c>
      <c r="I7" s="449">
        <f>IF($A7="","",SUMIF(SABADO!$B:$B,$A7,SABADO!$D:$D))</f>
        <v>0</v>
      </c>
      <c r="J7" s="459">
        <f>IF($A7="","",SUMIF(DOMINGO!$B:$B,$A7,DOMINGO!$D:$D))</f>
        <v>0</v>
      </c>
      <c r="K7" s="461">
        <f t="shared" si="0"/>
        <v>0</v>
      </c>
      <c r="L7" s="462">
        <f t="shared" si="1"/>
        <v>0</v>
      </c>
    </row>
    <row r="8" spans="1:12" x14ac:dyDescent="0.2">
      <c r="A8" s="456" t="str">
        <f>IF(CODIGOS!$A6="","",CODIGOS!$A6)</f>
        <v>C902869</v>
      </c>
      <c r="B8" s="443" t="str">
        <f>IF(CODIGOS!$B6="","",CODIGOS!$B6)</f>
        <v>ACEITE OLIVA 500 ML</v>
      </c>
      <c r="C8" s="457" t="str">
        <f>IF(CODIGOS!$E6="","",CODIGOS!$E6)</f>
        <v>BT 500cc</v>
      </c>
      <c r="D8" s="452">
        <f>IF($A8="","",SUMIF(LUNES!$B:$B,$A8,LUNES!$D:$D))</f>
        <v>0</v>
      </c>
      <c r="E8" s="449">
        <f>IF($A8="","",SUMIF(MARTES!$B:$B,$A8,MARTES!$D:$D))</f>
        <v>0</v>
      </c>
      <c r="F8" s="449">
        <f>IF($A8="","",SUMIF(MIERCOLES!$B:$B,$A8,MIERCOLES!$D:$D))</f>
        <v>0</v>
      </c>
      <c r="G8" s="449">
        <f>IF($A8="","",SUMIF(JUEVES!$B:$B,$A8,JUEVES!$D:$D))</f>
        <v>0</v>
      </c>
      <c r="H8" s="449">
        <f>IF($A8="","",SUMIF(VIERNES!$B:$B,$A8,VIERNES!$D:$D))</f>
        <v>0</v>
      </c>
      <c r="I8" s="449">
        <f>IF($A8="","",SUMIF(SABADO!$B:$B,$A8,SABADO!$D:$D))</f>
        <v>0</v>
      </c>
      <c r="J8" s="459">
        <f>IF($A8="","",SUMIF(DOMINGO!$B:$B,$A8,DOMINGO!$D:$D))</f>
        <v>0</v>
      </c>
      <c r="K8" s="461">
        <f t="shared" si="0"/>
        <v>0</v>
      </c>
      <c r="L8" s="462">
        <f t="shared" si="1"/>
        <v>0</v>
      </c>
    </row>
    <row r="9" spans="1:12" x14ac:dyDescent="0.2">
      <c r="A9" s="456" t="str">
        <f>IF(CODIGOS!$A7="","",CODIGOS!$A7)</f>
        <v>V000004</v>
      </c>
      <c r="B9" s="443" t="str">
        <f>IF(CODIGOS!$B7="","",CODIGOS!$B7)</f>
        <v>ACEITUNAS</v>
      </c>
      <c r="C9" s="457" t="str">
        <f>IF(CODIGOS!$E7="","",CODIGOS!$E7)</f>
        <v>KG</v>
      </c>
      <c r="D9" s="452">
        <f>IF($A9="","",SUMIF(LUNES!$B:$B,$A9,LUNES!$D:$D))</f>
        <v>0</v>
      </c>
      <c r="E9" s="449">
        <f>IF($A9="","",SUMIF(MARTES!$B:$B,$A9,MARTES!$D:$D))</f>
        <v>0</v>
      </c>
      <c r="F9" s="449">
        <f>IF($A9="","",SUMIF(MIERCOLES!$B:$B,$A9,MIERCOLES!$D:$D))</f>
        <v>0</v>
      </c>
      <c r="G9" s="449">
        <f>IF($A9="","",SUMIF(JUEVES!$B:$B,$A9,JUEVES!$D:$D))</f>
        <v>1</v>
      </c>
      <c r="H9" s="449">
        <f>IF($A9="","",SUMIF(VIERNES!$B:$B,$A9,VIERNES!$D:$D))</f>
        <v>0</v>
      </c>
      <c r="I9" s="449">
        <f>IF($A9="","",SUMIF(SABADO!$B:$B,$A9,SABADO!$D:$D))</f>
        <v>0</v>
      </c>
      <c r="J9" s="459">
        <f>IF($A9="","",SUMIF(DOMINGO!$B:$B,$A9,DOMINGO!$D:$D))</f>
        <v>0</v>
      </c>
      <c r="K9" s="461">
        <f t="shared" si="0"/>
        <v>1</v>
      </c>
      <c r="L9" s="462">
        <f t="shared" si="1"/>
        <v>4</v>
      </c>
    </row>
    <row r="10" spans="1:12" x14ac:dyDescent="0.2">
      <c r="A10" s="456" t="str">
        <f>IF(CODIGOS!$A8="","",CODIGOS!$A8)</f>
        <v>V000006</v>
      </c>
      <c r="B10" s="443" t="str">
        <f>IF(CODIGOS!$B8="","",CODIGOS!$B8)</f>
        <v>ACELGA NATURAL</v>
      </c>
      <c r="C10" s="457" t="str">
        <f>IF(CODIGOS!$E8="","",CODIGOS!$E8)</f>
        <v>AT 640 gr</v>
      </c>
      <c r="D10" s="452">
        <f>IF($A10="","",SUMIF(LUNES!$B:$B,$A10,LUNES!$D:$D))</f>
        <v>0</v>
      </c>
      <c r="E10" s="449">
        <f>IF($A10="","",SUMIF(MARTES!$B:$B,$A10,MARTES!$D:$D))</f>
        <v>7.6</v>
      </c>
      <c r="F10" s="449">
        <f>IF($A10="","",SUMIF(MIERCOLES!$B:$B,$A10,MIERCOLES!$D:$D))</f>
        <v>0</v>
      </c>
      <c r="G10" s="449">
        <f>IF($A10="","",SUMIF(JUEVES!$B:$B,$A10,JUEVES!$D:$D))</f>
        <v>0</v>
      </c>
      <c r="H10" s="449">
        <f>IF($A10="","",SUMIF(VIERNES!$B:$B,$A10,VIERNES!$D:$D))</f>
        <v>0</v>
      </c>
      <c r="I10" s="449">
        <f>IF($A10="","",SUMIF(SABADO!$B:$B,$A10,SABADO!$D:$D))</f>
        <v>0</v>
      </c>
      <c r="J10" s="459">
        <f>IF($A10="","",SUMIF(DOMINGO!$B:$B,$A10,DOMINGO!$D:$D))</f>
        <v>2.4</v>
      </c>
      <c r="K10" s="461">
        <f t="shared" si="0"/>
        <v>10</v>
      </c>
      <c r="L10" s="462">
        <f t="shared" si="1"/>
        <v>40</v>
      </c>
    </row>
    <row r="11" spans="1:12" x14ac:dyDescent="0.2">
      <c r="A11" s="456" t="str">
        <f>IF(CODIGOS!$A9="","",CODIGOS!$A9)</f>
        <v>V001117</v>
      </c>
      <c r="B11" s="443" t="str">
        <f>IF(CODIGOS!$B9="","",CODIGOS!$B9)</f>
        <v>AJI</v>
      </c>
      <c r="C11" s="457" t="str">
        <f>IF(CODIGOS!$E9="","",CODIGOS!$E9)</f>
        <v>NR (10 g)</v>
      </c>
      <c r="D11" s="452">
        <f>IF($A11="","",SUMIF(LUNES!$B:$B,$A11,LUNES!$D:$D))</f>
        <v>0</v>
      </c>
      <c r="E11" s="449">
        <f>IF($A11="","",SUMIF(MARTES!$B:$B,$A11,MARTES!$D:$D))</f>
        <v>0</v>
      </c>
      <c r="F11" s="449">
        <f>IF($A11="","",SUMIF(MIERCOLES!$B:$B,$A11,MIERCOLES!$D:$D))</f>
        <v>0</v>
      </c>
      <c r="G11" s="449">
        <f>IF($A11="","",SUMIF(JUEVES!$B:$B,$A11,JUEVES!$D:$D))</f>
        <v>0</v>
      </c>
      <c r="H11" s="449">
        <f>IF($A11="","",SUMIF(VIERNES!$B:$B,$A11,VIERNES!$D:$D))</f>
        <v>0</v>
      </c>
      <c r="I11" s="449">
        <f>IF($A11="","",SUMIF(SABADO!$B:$B,$A11,SABADO!$D:$D))</f>
        <v>0</v>
      </c>
      <c r="J11" s="459">
        <f>IF($A11="","",SUMIF(DOMINGO!$B:$B,$A11,DOMINGO!$D:$D))</f>
        <v>0</v>
      </c>
      <c r="K11" s="461">
        <f t="shared" si="0"/>
        <v>0</v>
      </c>
      <c r="L11" s="462">
        <f t="shared" si="1"/>
        <v>0</v>
      </c>
    </row>
    <row r="12" spans="1:12" x14ac:dyDescent="0.2">
      <c r="A12" s="456" t="str">
        <f>IF(CODIGOS!$A10="","",CODIGOS!$A10)</f>
        <v>V000009</v>
      </c>
      <c r="B12" s="443" t="str">
        <f>IF(CODIGOS!$B10="","",CODIGOS!$B10)</f>
        <v>AJI COLOR</v>
      </c>
      <c r="C12" s="457" t="str">
        <f>IF(CODIGOS!$E10="","",CODIGOS!$E10)</f>
        <v>KG</v>
      </c>
      <c r="D12" s="452">
        <f>IF($A12="","",SUMIF(LUNES!$B:$B,$A12,LUNES!$D:$D))</f>
        <v>0</v>
      </c>
      <c r="E12" s="449">
        <f>IF($A12="","",SUMIF(MARTES!$B:$B,$A12,MARTES!$D:$D))</f>
        <v>0</v>
      </c>
      <c r="F12" s="449">
        <f>IF($A12="","",SUMIF(MIERCOLES!$B:$B,$A12,MIERCOLES!$D:$D))</f>
        <v>0</v>
      </c>
      <c r="G12" s="449">
        <f>IF($A12="","",SUMIF(JUEVES!$B:$B,$A12,JUEVES!$D:$D))</f>
        <v>0</v>
      </c>
      <c r="H12" s="449">
        <f>IF($A12="","",SUMIF(VIERNES!$B:$B,$A12,VIERNES!$D:$D))</f>
        <v>0</v>
      </c>
      <c r="I12" s="449">
        <f>IF($A12="","",SUMIF(SABADO!$B:$B,$A12,SABADO!$D:$D))</f>
        <v>0</v>
      </c>
      <c r="J12" s="459">
        <f>IF($A12="","",SUMIF(DOMINGO!$B:$B,$A12,DOMINGO!$D:$D))</f>
        <v>0</v>
      </c>
      <c r="K12" s="461">
        <f t="shared" si="0"/>
        <v>0</v>
      </c>
      <c r="L12" s="462">
        <f t="shared" si="1"/>
        <v>0</v>
      </c>
    </row>
    <row r="13" spans="1:12" x14ac:dyDescent="0.2">
      <c r="A13" s="456" t="str">
        <f>IF(CODIGOS!$A11="","",CODIGOS!$A11)</f>
        <v>V000010</v>
      </c>
      <c r="B13" s="443" t="str">
        <f>IF(CODIGOS!$B11="","",CODIGOS!$B11)</f>
        <v>AJI EN PASTA</v>
      </c>
      <c r="C13" s="457" t="str">
        <f>IF(CODIGOS!$E11="","",CODIGOS!$E11)</f>
        <v>SB. 1000 gr</v>
      </c>
      <c r="D13" s="452">
        <f>IF($A13="","",SUMIF(LUNES!$B:$B,$A13,LUNES!$D:$D))</f>
        <v>0</v>
      </c>
      <c r="E13" s="449">
        <f>IF($A13="","",SUMIF(MARTES!$B:$B,$A13,MARTES!$D:$D))</f>
        <v>0</v>
      </c>
      <c r="F13" s="449">
        <f>IF($A13="","",SUMIF(MIERCOLES!$B:$B,$A13,MIERCOLES!$D:$D))</f>
        <v>0</v>
      </c>
      <c r="G13" s="449">
        <f>IF($A13="","",SUMIF(JUEVES!$B:$B,$A13,JUEVES!$D:$D))</f>
        <v>0.2</v>
      </c>
      <c r="H13" s="449">
        <f>IF($A13="","",SUMIF(VIERNES!$B:$B,$A13,VIERNES!$D:$D))</f>
        <v>0</v>
      </c>
      <c r="I13" s="449">
        <f>IF($A13="","",SUMIF(SABADO!$B:$B,$A13,SABADO!$D:$D))</f>
        <v>0</v>
      </c>
      <c r="J13" s="459">
        <f>IF($A13="","",SUMIF(DOMINGO!$B:$B,$A13,DOMINGO!$D:$D))</f>
        <v>0</v>
      </c>
      <c r="K13" s="461">
        <f t="shared" si="0"/>
        <v>0.2</v>
      </c>
      <c r="L13" s="462">
        <f t="shared" si="1"/>
        <v>0.8</v>
      </c>
    </row>
    <row r="14" spans="1:12" x14ac:dyDescent="0.2">
      <c r="A14" s="456" t="str">
        <f>IF(CODIGOS!$A12="","",CODIGOS!$A12)</f>
        <v>V000014</v>
      </c>
      <c r="B14" s="443" t="str">
        <f>IF(CODIGOS!$B12="","",CODIGOS!$B12)</f>
        <v>AJOS FRESCO</v>
      </c>
      <c r="C14" s="457" t="str">
        <f>IF(CODIGOS!$E12="","",CODIGOS!$E12)</f>
        <v>NR 35 g</v>
      </c>
      <c r="D14" s="452">
        <f>IF($A14="","",SUMIF(LUNES!$B:$B,$A14,LUNES!$D:$D))</f>
        <v>0.30000000000000004</v>
      </c>
      <c r="E14" s="449">
        <f>IF($A14="","",SUMIF(MARTES!$B:$B,$A14,MARTES!$D:$D))</f>
        <v>0</v>
      </c>
      <c r="F14" s="449">
        <f>IF($A14="","",SUMIF(MIERCOLES!$B:$B,$A14,MIERCOLES!$D:$D))</f>
        <v>0.04</v>
      </c>
      <c r="G14" s="449">
        <f>IF($A14="","",SUMIF(JUEVES!$B:$B,$A14,JUEVES!$D:$D))</f>
        <v>0.1</v>
      </c>
      <c r="H14" s="449">
        <f>IF($A14="","",SUMIF(VIERNES!$B:$B,$A14,VIERNES!$D:$D))</f>
        <v>0.24000000000000002</v>
      </c>
      <c r="I14" s="449">
        <f>IF($A14="","",SUMIF(SABADO!$B:$B,$A14,SABADO!$D:$D))</f>
        <v>0.08</v>
      </c>
      <c r="J14" s="459">
        <f>IF($A14="","",SUMIF(DOMINGO!$B:$B,$A14,DOMINGO!$D:$D))</f>
        <v>0.08</v>
      </c>
      <c r="K14" s="461">
        <f t="shared" si="0"/>
        <v>0.84</v>
      </c>
      <c r="L14" s="462">
        <f t="shared" si="1"/>
        <v>3.36</v>
      </c>
    </row>
    <row r="15" spans="1:12" x14ac:dyDescent="0.2">
      <c r="A15" s="456" t="str">
        <f>IF(CODIGOS!$A13="","",CODIGOS!$A13)</f>
        <v>V000015</v>
      </c>
      <c r="B15" s="443" t="str">
        <f>IF(CODIGOS!$B13="","",CODIGOS!$B13)</f>
        <v>ALBAHACA</v>
      </c>
      <c r="C15" s="457" t="str">
        <f>IF(CODIGOS!$E13="","",CODIGOS!$E13)</f>
        <v>AT 100 g</v>
      </c>
      <c r="D15" s="452">
        <f>IF($A15="","",SUMIF(LUNES!$B:$B,$A15,LUNES!$D:$D))</f>
        <v>0</v>
      </c>
      <c r="E15" s="449">
        <f>IF($A15="","",SUMIF(MARTES!$B:$B,$A15,MARTES!$D:$D))</f>
        <v>0</v>
      </c>
      <c r="F15" s="449">
        <f>IF($A15="","",SUMIF(MIERCOLES!$B:$B,$A15,MIERCOLES!$D:$D))</f>
        <v>0</v>
      </c>
      <c r="G15" s="449">
        <f>IF($A15="","",SUMIF(JUEVES!$B:$B,$A15,JUEVES!$D:$D))</f>
        <v>0</v>
      </c>
      <c r="H15" s="449">
        <f>IF($A15="","",SUMIF(VIERNES!$B:$B,$A15,VIERNES!$D:$D))</f>
        <v>0</v>
      </c>
      <c r="I15" s="449">
        <f>IF($A15="","",SUMIF(SABADO!$B:$B,$A15,SABADO!$D:$D))</f>
        <v>0</v>
      </c>
      <c r="J15" s="459">
        <f>IF($A15="","",SUMIF(DOMINGO!$B:$B,$A15,DOMINGO!$D:$D))</f>
        <v>0</v>
      </c>
      <c r="K15" s="461">
        <f t="shared" si="0"/>
        <v>0</v>
      </c>
      <c r="L15" s="462">
        <f t="shared" si="1"/>
        <v>0</v>
      </c>
    </row>
    <row r="16" spans="1:12" x14ac:dyDescent="0.2">
      <c r="A16" s="456" t="str">
        <f>IF(CODIGOS!$A14="","",CODIGOS!$A14)</f>
        <v>V000017</v>
      </c>
      <c r="B16" s="443" t="str">
        <f>IF(CODIGOS!$B14="","",CODIGOS!$B14)</f>
        <v>ALCAPARRA</v>
      </c>
      <c r="C16" s="457" t="str">
        <f>IF(CODIGOS!$E14="","",CODIGOS!$E14)</f>
        <v>FR 125 G</v>
      </c>
      <c r="D16" s="452">
        <f>IF($A16="","",SUMIF(LUNES!$B:$B,$A16,LUNES!$D:$D))</f>
        <v>0</v>
      </c>
      <c r="E16" s="449">
        <f>IF($A16="","",SUMIF(MARTES!$B:$B,$A16,MARTES!$D:$D))</f>
        <v>0</v>
      </c>
      <c r="F16" s="449">
        <f>IF($A16="","",SUMIF(MIERCOLES!$B:$B,$A16,MIERCOLES!$D:$D))</f>
        <v>0</v>
      </c>
      <c r="G16" s="449">
        <f>IF($A16="","",SUMIF(JUEVES!$B:$B,$A16,JUEVES!$D:$D))</f>
        <v>0</v>
      </c>
      <c r="H16" s="449">
        <f>IF($A16="","",SUMIF(VIERNES!$B:$B,$A16,VIERNES!$D:$D))</f>
        <v>0</v>
      </c>
      <c r="I16" s="449">
        <f>IF($A16="","",SUMIF(SABADO!$B:$B,$A16,SABADO!$D:$D))</f>
        <v>0</v>
      </c>
      <c r="J16" s="459">
        <f>IF($A16="","",SUMIF(DOMINGO!$B:$B,$A16,DOMINGO!$D:$D))</f>
        <v>0</v>
      </c>
      <c r="K16" s="461">
        <f t="shared" si="0"/>
        <v>0</v>
      </c>
      <c r="L16" s="462">
        <f t="shared" si="1"/>
        <v>0</v>
      </c>
    </row>
    <row r="17" spans="1:12" x14ac:dyDescent="0.2">
      <c r="A17" s="456" t="str">
        <f>IF(CODIGOS!$A15="","",CODIGOS!$A15)</f>
        <v>V000018</v>
      </c>
      <c r="B17" s="443" t="str">
        <f>IF(CODIGOS!$B15="","",CODIGOS!$B15)</f>
        <v>ALIÑO COMPLETO KG</v>
      </c>
      <c r="C17" s="457" t="str">
        <f>IF(CODIGOS!$E15="","",CODIGOS!$E15)</f>
        <v>KG</v>
      </c>
      <c r="D17" s="452">
        <f>IF($A17="","",SUMIF(LUNES!$B:$B,$A17,LUNES!$D:$D))</f>
        <v>0</v>
      </c>
      <c r="E17" s="449">
        <f>IF($A17="","",SUMIF(MARTES!$B:$B,$A17,MARTES!$D:$D))</f>
        <v>0</v>
      </c>
      <c r="F17" s="449">
        <f>IF($A17="","",SUMIF(MIERCOLES!$B:$B,$A17,MIERCOLES!$D:$D))</f>
        <v>0</v>
      </c>
      <c r="G17" s="449">
        <f>IF($A17="","",SUMIF(JUEVES!$B:$B,$A17,JUEVES!$D:$D))</f>
        <v>0</v>
      </c>
      <c r="H17" s="449">
        <f>IF($A17="","",SUMIF(VIERNES!$B:$B,$A17,VIERNES!$D:$D))</f>
        <v>0</v>
      </c>
      <c r="I17" s="449">
        <f>IF($A17="","",SUMIF(SABADO!$B:$B,$A17,SABADO!$D:$D))</f>
        <v>0</v>
      </c>
      <c r="J17" s="459">
        <f>IF($A17="","",SUMIF(DOMINGO!$B:$B,$A17,DOMINGO!$D:$D))</f>
        <v>0</v>
      </c>
      <c r="K17" s="461">
        <f t="shared" si="0"/>
        <v>0</v>
      </c>
      <c r="L17" s="462">
        <f t="shared" si="1"/>
        <v>0</v>
      </c>
    </row>
    <row r="18" spans="1:12" x14ac:dyDescent="0.2">
      <c r="A18" s="456" t="str">
        <f>IF(CODIGOS!$A16="","",CODIGOS!$A16)</f>
        <v>V000335</v>
      </c>
      <c r="B18" s="443" t="str">
        <f>IF(CODIGOS!$B16="","",CODIGOS!$B16)</f>
        <v>APIO</v>
      </c>
      <c r="C18" s="457" t="str">
        <f>IF(CODIGOS!$E16="","",CODIGOS!$E16)</f>
        <v>KG</v>
      </c>
      <c r="D18" s="452">
        <f>IF($A18="","",SUMIF(LUNES!$B:$B,$A18,LUNES!$D:$D))</f>
        <v>0</v>
      </c>
      <c r="E18" s="449">
        <f>IF($A18="","",SUMIF(MARTES!$B:$B,$A18,MARTES!$D:$D))</f>
        <v>0</v>
      </c>
      <c r="F18" s="449">
        <f>IF($A18="","",SUMIF(MIERCOLES!$B:$B,$A18,MIERCOLES!$D:$D))</f>
        <v>0</v>
      </c>
      <c r="G18" s="449">
        <f>IF($A18="","",SUMIF(JUEVES!$B:$B,$A18,JUEVES!$D:$D))</f>
        <v>0</v>
      </c>
      <c r="H18" s="449">
        <f>IF($A18="","",SUMIF(VIERNES!$B:$B,$A18,VIERNES!$D:$D))</f>
        <v>0</v>
      </c>
      <c r="I18" s="449">
        <f>IF($A18="","",SUMIF(SABADO!$B:$B,$A18,SABADO!$D:$D))</f>
        <v>0</v>
      </c>
      <c r="J18" s="459">
        <f>IF($A18="","",SUMIF(DOMINGO!$B:$B,$A18,DOMINGO!$D:$D))</f>
        <v>0</v>
      </c>
      <c r="K18" s="461">
        <f t="shared" si="0"/>
        <v>0</v>
      </c>
      <c r="L18" s="462">
        <f t="shared" si="1"/>
        <v>0</v>
      </c>
    </row>
    <row r="19" spans="1:12" x14ac:dyDescent="0.2">
      <c r="A19" s="456" t="str">
        <f>IF(CODIGOS!$A17="","",CODIGOS!$A17)</f>
        <v>C002832</v>
      </c>
      <c r="B19" s="443" t="str">
        <f>IF(CODIGOS!$B17="","",CODIGOS!$B17)</f>
        <v>ARROZ</v>
      </c>
      <c r="C19" s="457" t="str">
        <f>IF(CODIGOS!$E17="","",CODIGOS!$E17)</f>
        <v>KG</v>
      </c>
      <c r="D19" s="452">
        <f>IF($A19="","",SUMIF(LUNES!$B:$B,$A19,LUNES!$D:$D))</f>
        <v>8</v>
      </c>
      <c r="E19" s="449">
        <f>IF($A19="","",SUMIF(MARTES!$B:$B,$A19,MARTES!$D:$D))</f>
        <v>0.8</v>
      </c>
      <c r="F19" s="449">
        <f>IF($A19="","",SUMIF(MIERCOLES!$B:$B,$A19,MIERCOLES!$D:$D))</f>
        <v>6.8000000000000007</v>
      </c>
      <c r="G19" s="449">
        <f>IF($A19="","",SUMIF(JUEVES!$B:$B,$A19,JUEVES!$D:$D))</f>
        <v>2</v>
      </c>
      <c r="H19" s="449">
        <f>IF($A19="","",SUMIF(VIERNES!$B:$B,$A19,VIERNES!$D:$D))</f>
        <v>0</v>
      </c>
      <c r="I19" s="449">
        <f>IF($A19="","",SUMIF(SABADO!$B:$B,$A19,SABADO!$D:$D))</f>
        <v>5.6</v>
      </c>
      <c r="J19" s="459">
        <f>IF($A19="","",SUMIF(DOMINGO!$B:$B,$A19,DOMINGO!$D:$D))</f>
        <v>0</v>
      </c>
      <c r="K19" s="461">
        <f t="shared" si="0"/>
        <v>23.200000000000003</v>
      </c>
      <c r="L19" s="462">
        <f t="shared" si="1"/>
        <v>92.800000000000011</v>
      </c>
    </row>
    <row r="20" spans="1:12" x14ac:dyDescent="0.2">
      <c r="A20" s="456" t="str">
        <f>IF(CODIGOS!$A18="","",CODIGOS!$A18)</f>
        <v>V000395</v>
      </c>
      <c r="B20" s="443" t="str">
        <f>IF(CODIGOS!$B18="","",CODIGOS!$B18)</f>
        <v>ARVEJAS CONGELADAS KG</v>
      </c>
      <c r="C20" s="457" t="str">
        <f>IF(CODIGOS!$E18="","",CODIGOS!$E18)</f>
        <v>KG</v>
      </c>
      <c r="D20" s="452">
        <f>IF($A20="","",SUMIF(LUNES!$B:$B,$A20,LUNES!$D:$D))</f>
        <v>4</v>
      </c>
      <c r="E20" s="449">
        <f>IF($A20="","",SUMIF(MARTES!$B:$B,$A20,MARTES!$D:$D))</f>
        <v>0</v>
      </c>
      <c r="F20" s="449">
        <f>IF($A20="","",SUMIF(MIERCOLES!$B:$B,$A20,MIERCOLES!$D:$D))</f>
        <v>0</v>
      </c>
      <c r="G20" s="449">
        <f>IF($A20="","",SUMIF(JUEVES!$B:$B,$A20,JUEVES!$D:$D))</f>
        <v>0</v>
      </c>
      <c r="H20" s="449">
        <f>IF($A20="","",SUMIF(VIERNES!$B:$B,$A20,VIERNES!$D:$D))</f>
        <v>0</v>
      </c>
      <c r="I20" s="449">
        <f>IF($A20="","",SUMIF(SABADO!$B:$B,$A20,SABADO!$D:$D))</f>
        <v>1.6</v>
      </c>
      <c r="J20" s="459">
        <f>IF($A20="","",SUMIF(DOMINGO!$B:$B,$A20,DOMINGO!$D:$D))</f>
        <v>0</v>
      </c>
      <c r="K20" s="461">
        <f t="shared" si="0"/>
        <v>5.6</v>
      </c>
      <c r="L20" s="462">
        <f t="shared" si="1"/>
        <v>22.4</v>
      </c>
    </row>
    <row r="21" spans="1:12" x14ac:dyDescent="0.2">
      <c r="A21" s="456" t="str">
        <f>IF(CODIGOS!$A19="","",CODIGOS!$A19)</f>
        <v>C903059</v>
      </c>
      <c r="B21" s="443" t="str">
        <f>IF(CODIGOS!$B19="","",CODIGOS!$B19)</f>
        <v>ARVEJAS PARTIDAS</v>
      </c>
      <c r="C21" s="457" t="str">
        <f>IF(CODIGOS!$E19="","",CODIGOS!$E19)</f>
        <v>KG</v>
      </c>
      <c r="D21" s="452">
        <f>IF($A21="","",SUMIF(LUNES!$B:$B,$A21,LUNES!$D:$D))</f>
        <v>0</v>
      </c>
      <c r="E21" s="449">
        <f>IF($A21="","",SUMIF(MARTES!$B:$B,$A21,MARTES!$D:$D))</f>
        <v>0</v>
      </c>
      <c r="F21" s="449">
        <f>IF($A21="","",SUMIF(MIERCOLES!$B:$B,$A21,MIERCOLES!$D:$D))</f>
        <v>0</v>
      </c>
      <c r="G21" s="449">
        <f>IF($A21="","",SUMIF(JUEVES!$B:$B,$A21,JUEVES!$D:$D))</f>
        <v>0</v>
      </c>
      <c r="H21" s="449">
        <f>IF($A21="","",SUMIF(VIERNES!$B:$B,$A21,VIERNES!$D:$D))</f>
        <v>0</v>
      </c>
      <c r="I21" s="449">
        <f>IF($A21="","",SUMIF(SABADO!$B:$B,$A21,SABADO!$D:$D))</f>
        <v>0</v>
      </c>
      <c r="J21" s="459">
        <f>IF($A21="","",SUMIF(DOMINGO!$B:$B,$A21,DOMINGO!$D:$D))</f>
        <v>0</v>
      </c>
      <c r="K21" s="461">
        <f t="shared" si="0"/>
        <v>0</v>
      </c>
      <c r="L21" s="462">
        <f t="shared" si="1"/>
        <v>0</v>
      </c>
    </row>
    <row r="22" spans="1:12" x14ac:dyDescent="0.2">
      <c r="A22" s="456" t="str">
        <f>IF(CODIGOS!$A20="","",CODIGOS!$A20)</f>
        <v>C902758</v>
      </c>
      <c r="B22" s="443" t="str">
        <f>IF(CODIGOS!$B20="","",CODIGOS!$B20)</f>
        <v>ATUN LOMITO AL AGUA 1 KG</v>
      </c>
      <c r="C22" s="457" t="str">
        <f>IF(CODIGOS!$E20="","",CODIGOS!$E20)</f>
        <v>KG</v>
      </c>
      <c r="D22" s="452">
        <f>IF($A22="","",SUMIF(LUNES!$B:$B,$A22,LUNES!$D:$D))</f>
        <v>0</v>
      </c>
      <c r="E22" s="449">
        <f>IF($A22="","",SUMIF(MARTES!$B:$B,$A22,MARTES!$D:$D))</f>
        <v>0</v>
      </c>
      <c r="F22" s="449">
        <f>IF($A22="","",SUMIF(MIERCOLES!$B:$B,$A22,MIERCOLES!$D:$D))</f>
        <v>0</v>
      </c>
      <c r="G22" s="449">
        <f>IF($A22="","",SUMIF(JUEVES!$B:$B,$A22,JUEVES!$D:$D))</f>
        <v>0</v>
      </c>
      <c r="H22" s="449">
        <f>IF($A22="","",SUMIF(VIERNES!$B:$B,$A22,VIERNES!$D:$D))</f>
        <v>0</v>
      </c>
      <c r="I22" s="449">
        <f>IF($A22="","",SUMIF(SABADO!$B:$B,$A22,SABADO!$D:$D))</f>
        <v>0</v>
      </c>
      <c r="J22" s="459">
        <f>IF($A22="","",SUMIF(DOMINGO!$B:$B,$A22,DOMINGO!$D:$D))</f>
        <v>0</v>
      </c>
      <c r="K22" s="461">
        <f t="shared" si="0"/>
        <v>0</v>
      </c>
      <c r="L22" s="462">
        <f t="shared" si="1"/>
        <v>0</v>
      </c>
    </row>
    <row r="23" spans="1:12" x14ac:dyDescent="0.2">
      <c r="A23" s="456" t="str">
        <f>IF(CODIGOS!$A21="","",CODIGOS!$A21)</f>
        <v>C000816</v>
      </c>
      <c r="B23" s="443" t="str">
        <f>IF(CODIGOS!$B21="","",CODIGOS!$B21)</f>
        <v>AZUCAR BLANCA REFINADA</v>
      </c>
      <c r="C23" s="457" t="str">
        <f>IF(CODIGOS!$E21="","",CODIGOS!$E21)</f>
        <v>KG</v>
      </c>
      <c r="D23" s="452">
        <f>IF($A23="","",SUMIF(LUNES!$B:$B,$A23,LUNES!$D:$D))</f>
        <v>0.91439999999999999</v>
      </c>
      <c r="E23" s="449">
        <f>IF($A23="","",SUMIF(MARTES!$B:$B,$A23,MARTES!$D:$D))</f>
        <v>0.91439999999999999</v>
      </c>
      <c r="F23" s="449">
        <f>IF($A23="","",SUMIF(MIERCOLES!$B:$B,$A23,MIERCOLES!$D:$D))</f>
        <v>0.91439999999999999</v>
      </c>
      <c r="G23" s="449">
        <f>IF($A23="","",SUMIF(JUEVES!$B:$B,$A23,JUEVES!$D:$D))</f>
        <v>2.9143999999999997</v>
      </c>
      <c r="H23" s="449">
        <f>IF($A23="","",SUMIF(VIERNES!$B:$B,$A23,VIERNES!$D:$D))</f>
        <v>0.91439999999999999</v>
      </c>
      <c r="I23" s="449">
        <f>IF($A23="","",SUMIF(SABADO!$B:$B,$A23,SABADO!$D:$D))</f>
        <v>0.91439999999999999</v>
      </c>
      <c r="J23" s="459">
        <f>IF($A23="","",SUMIF(DOMINGO!$B:$B,$A23,DOMINGO!$D:$D))</f>
        <v>0.91439999999999999</v>
      </c>
      <c r="K23" s="461">
        <f t="shared" si="0"/>
        <v>8.4007999999999985</v>
      </c>
      <c r="L23" s="462">
        <f t="shared" si="1"/>
        <v>33.603199999999994</v>
      </c>
    </row>
    <row r="24" spans="1:12" x14ac:dyDescent="0.2">
      <c r="A24" s="456" t="str">
        <f>IF(CODIGOS!$A22="","",CODIGOS!$A22)</f>
        <v>V000031</v>
      </c>
      <c r="B24" s="443" t="str">
        <f>IF(CODIGOS!$B22="","",CODIGOS!$B22)</f>
        <v>AZUCAR FLOR</v>
      </c>
      <c r="C24" s="457" t="str">
        <f>IF(CODIGOS!$E22="","",CODIGOS!$E22)</f>
        <v>KG</v>
      </c>
      <c r="D24" s="452">
        <f>IF($A24="","",SUMIF(LUNES!$B:$B,$A24,LUNES!$D:$D))</f>
        <v>0</v>
      </c>
      <c r="E24" s="449">
        <f>IF($A24="","",SUMIF(MARTES!$B:$B,$A24,MARTES!$D:$D))</f>
        <v>0</v>
      </c>
      <c r="F24" s="449">
        <f>IF($A24="","",SUMIF(MIERCOLES!$B:$B,$A24,MIERCOLES!$D:$D))</f>
        <v>0</v>
      </c>
      <c r="G24" s="449">
        <f>IF($A24="","",SUMIF(JUEVES!$B:$B,$A24,JUEVES!$D:$D))</f>
        <v>0</v>
      </c>
      <c r="H24" s="449">
        <f>IF($A24="","",SUMIF(VIERNES!$B:$B,$A24,VIERNES!$D:$D))</f>
        <v>0</v>
      </c>
      <c r="I24" s="449">
        <f>IF($A24="","",SUMIF(SABADO!$B:$B,$A24,SABADO!$D:$D))</f>
        <v>0</v>
      </c>
      <c r="J24" s="459">
        <f>IF($A24="","",SUMIF(DOMINGO!$B:$B,$A24,DOMINGO!$D:$D))</f>
        <v>0</v>
      </c>
      <c r="K24" s="461">
        <f t="shared" si="0"/>
        <v>0</v>
      </c>
      <c r="L24" s="462">
        <f t="shared" si="1"/>
        <v>0</v>
      </c>
    </row>
    <row r="25" spans="1:12" x14ac:dyDescent="0.2">
      <c r="A25" s="456" t="str">
        <f>IF(CODIGOS!$A23="","",CODIGOS!$A23)</f>
        <v>V000366</v>
      </c>
      <c r="B25" s="443" t="str">
        <f>IF(CODIGOS!$B23="","",CODIGOS!$B23)</f>
        <v>BASE DE APANAR</v>
      </c>
      <c r="C25" s="457" t="str">
        <f>IF(CODIGOS!$E23="","",CODIGOS!$E23)</f>
        <v>KG</v>
      </c>
      <c r="D25" s="452">
        <f>IF($A25="","",SUMIF(LUNES!$B:$B,$A25,LUNES!$D:$D))</f>
        <v>0</v>
      </c>
      <c r="E25" s="449">
        <f>IF($A25="","",SUMIF(MARTES!$B:$B,$A25,MARTES!$D:$D))</f>
        <v>0</v>
      </c>
      <c r="F25" s="449">
        <f>IF($A25="","",SUMIF(MIERCOLES!$B:$B,$A25,MIERCOLES!$D:$D))</f>
        <v>0</v>
      </c>
      <c r="G25" s="449">
        <f>IF($A25="","",SUMIF(JUEVES!$B:$B,$A25,JUEVES!$D:$D))</f>
        <v>0</v>
      </c>
      <c r="H25" s="449">
        <f>IF($A25="","",SUMIF(VIERNES!$B:$B,$A25,VIERNES!$D:$D))</f>
        <v>0</v>
      </c>
      <c r="I25" s="449">
        <f>IF($A25="","",SUMIF(SABADO!$B:$B,$A25,SABADO!$D:$D))</f>
        <v>0</v>
      </c>
      <c r="J25" s="459">
        <f>IF($A25="","",SUMIF(DOMINGO!$B:$B,$A25,DOMINGO!$D:$D))</f>
        <v>0</v>
      </c>
      <c r="K25" s="461">
        <f t="shared" si="0"/>
        <v>0</v>
      </c>
      <c r="L25" s="462">
        <f t="shared" si="1"/>
        <v>0</v>
      </c>
    </row>
    <row r="26" spans="1:12" x14ac:dyDescent="0.2">
      <c r="A26" s="456" t="str">
        <f>IF(CODIGOS!$A24="","",CODIGOS!$A24)</f>
        <v>V000367</v>
      </c>
      <c r="B26" s="443" t="str">
        <f>IF(CODIGOS!$B24="","",CODIGOS!$B24)</f>
        <v>BASE HAMBURGUESA</v>
      </c>
      <c r="C26" s="457" t="str">
        <f>IF(CODIGOS!$E24="","",CODIGOS!$E24)</f>
        <v>KG</v>
      </c>
      <c r="D26" s="452">
        <f>IF($A26="","",SUMIF(LUNES!$B:$B,$A26,LUNES!$D:$D))</f>
        <v>0</v>
      </c>
      <c r="E26" s="449">
        <f>IF($A26="","",SUMIF(MARTES!$B:$B,$A26,MARTES!$D:$D))</f>
        <v>0</v>
      </c>
      <c r="F26" s="449">
        <f>IF($A26="","",SUMIF(MIERCOLES!$B:$B,$A26,MIERCOLES!$D:$D))</f>
        <v>0</v>
      </c>
      <c r="G26" s="449">
        <f>IF($A26="","",SUMIF(JUEVES!$B:$B,$A26,JUEVES!$D:$D))</f>
        <v>0</v>
      </c>
      <c r="H26" s="449">
        <f>IF($A26="","",SUMIF(VIERNES!$B:$B,$A26,VIERNES!$D:$D))</f>
        <v>0</v>
      </c>
      <c r="I26" s="449">
        <f>IF($A26="","",SUMIF(SABADO!$B:$B,$A26,SABADO!$D:$D))</f>
        <v>0</v>
      </c>
      <c r="J26" s="459">
        <f>IF($A26="","",SUMIF(DOMINGO!$B:$B,$A26,DOMINGO!$D:$D))</f>
        <v>0</v>
      </c>
      <c r="K26" s="461">
        <f t="shared" si="0"/>
        <v>0</v>
      </c>
      <c r="L26" s="462">
        <f t="shared" si="1"/>
        <v>0</v>
      </c>
    </row>
    <row r="27" spans="1:12" x14ac:dyDescent="0.2">
      <c r="A27" s="456" t="str">
        <f>IF(CODIGOS!$A25="","",CODIGOS!$A25)</f>
        <v>V000987</v>
      </c>
      <c r="B27" s="443" t="str">
        <f>IF(CODIGOS!$B25="","",CODIGOS!$B25)</f>
        <v>BAVAROIS LIMÓN</v>
      </c>
      <c r="C27" s="457" t="str">
        <f>IF(CODIGOS!$E25="","",CODIGOS!$E25)</f>
        <v>KG</v>
      </c>
      <c r="D27" s="452">
        <f>IF($A27="","",SUMIF(LUNES!$B:$B,$A27,LUNES!$D:$D))</f>
        <v>0</v>
      </c>
      <c r="E27" s="449">
        <f>IF($A27="","",SUMIF(MARTES!$B:$B,$A27,MARTES!$D:$D))</f>
        <v>0</v>
      </c>
      <c r="F27" s="449">
        <f>IF($A27="","",SUMIF(MIERCOLES!$B:$B,$A27,MIERCOLES!$D:$D))</f>
        <v>0</v>
      </c>
      <c r="G27" s="449">
        <f>IF($A27="","",SUMIF(JUEVES!$B:$B,$A27,JUEVES!$D:$D))</f>
        <v>0</v>
      </c>
      <c r="H27" s="449">
        <f>IF($A27="","",SUMIF(VIERNES!$B:$B,$A27,VIERNES!$D:$D))</f>
        <v>0</v>
      </c>
      <c r="I27" s="449">
        <f>IF($A27="","",SUMIF(SABADO!$B:$B,$A27,SABADO!$D:$D))</f>
        <v>0</v>
      </c>
      <c r="J27" s="459">
        <f>IF($A27="","",SUMIF(DOMINGO!$B:$B,$A27,DOMINGO!$D:$D))</f>
        <v>0</v>
      </c>
      <c r="K27" s="461">
        <f t="shared" si="0"/>
        <v>0</v>
      </c>
      <c r="L27" s="462">
        <f t="shared" si="1"/>
        <v>0</v>
      </c>
    </row>
    <row r="28" spans="1:12" x14ac:dyDescent="0.2">
      <c r="A28" s="456" t="str">
        <f>IF(CODIGOS!$A26="","",CODIGOS!$A26)</f>
        <v>V000034</v>
      </c>
      <c r="B28" s="443" t="str">
        <f>IF(CODIGOS!$B26="","",CODIGOS!$B26)</f>
        <v>BETARRAGAS AT</v>
      </c>
      <c r="C28" s="457" t="str">
        <f>IF(CODIGOS!$E26="","",CODIGOS!$E26)</f>
        <v>AT</v>
      </c>
      <c r="D28" s="452">
        <f>IF($A28="","",SUMIF(LUNES!$B:$B,$A28,LUNES!$D:$D))</f>
        <v>0</v>
      </c>
      <c r="E28" s="449">
        <f>IF($A28="","",SUMIF(MARTES!$B:$B,$A28,MARTES!$D:$D))</f>
        <v>3.2</v>
      </c>
      <c r="F28" s="449">
        <f>IF($A28="","",SUMIF(MIERCOLES!$B:$B,$A28,MIERCOLES!$D:$D))</f>
        <v>0</v>
      </c>
      <c r="G28" s="449">
        <f>IF($A28="","",SUMIF(JUEVES!$B:$B,$A28,JUEVES!$D:$D))</f>
        <v>0</v>
      </c>
      <c r="H28" s="449">
        <f>IF($A28="","",SUMIF(VIERNES!$B:$B,$A28,VIERNES!$D:$D))</f>
        <v>0</v>
      </c>
      <c r="I28" s="449">
        <f>IF($A28="","",SUMIF(SABADO!$B:$B,$A28,SABADO!$D:$D))</f>
        <v>0</v>
      </c>
      <c r="J28" s="459">
        <f>IF($A28="","",SUMIF(DOMINGO!$B:$B,$A28,DOMINGO!$D:$D))</f>
        <v>0</v>
      </c>
      <c r="K28" s="461">
        <f t="shared" si="0"/>
        <v>3.2</v>
      </c>
      <c r="L28" s="462">
        <f t="shared" si="1"/>
        <v>12.8</v>
      </c>
    </row>
    <row r="29" spans="1:12" x14ac:dyDescent="0.2">
      <c r="A29" s="456" t="str">
        <f>IF(CODIGOS!$A27="","",CODIGOS!$A27)</f>
        <v>V000037</v>
      </c>
      <c r="B29" s="443" t="str">
        <f>IF(CODIGOS!$B27="","",CODIGOS!$B27)</f>
        <v>BROCOLI FRESCO</v>
      </c>
      <c r="C29" s="457" t="str">
        <f>IF(CODIGOS!$E27="","",CODIGOS!$E27)</f>
        <v>NR 1000 gr</v>
      </c>
      <c r="D29" s="452">
        <f>IF($A29="","",SUMIF(LUNES!$B:$B,$A29,LUNES!$D:$D))</f>
        <v>0</v>
      </c>
      <c r="E29" s="449">
        <f>IF($A29="","",SUMIF(MARTES!$B:$B,$A29,MARTES!$D:$D))</f>
        <v>0</v>
      </c>
      <c r="F29" s="449">
        <f>IF($A29="","",SUMIF(MIERCOLES!$B:$B,$A29,MIERCOLES!$D:$D))</f>
        <v>0</v>
      </c>
      <c r="G29" s="449">
        <f>IF($A29="","",SUMIF(JUEVES!$B:$B,$A29,JUEVES!$D:$D))</f>
        <v>0</v>
      </c>
      <c r="H29" s="449">
        <f>IF($A29="","",SUMIF(VIERNES!$B:$B,$A29,VIERNES!$D:$D))</f>
        <v>0</v>
      </c>
      <c r="I29" s="449">
        <f>IF($A29="","",SUMIF(SABADO!$B:$B,$A29,SABADO!$D:$D))</f>
        <v>0</v>
      </c>
      <c r="J29" s="459">
        <f>IF($A29="","",SUMIF(DOMINGO!$B:$B,$A29,DOMINGO!$D:$D))</f>
        <v>0</v>
      </c>
      <c r="K29" s="461">
        <f t="shared" si="0"/>
        <v>0</v>
      </c>
      <c r="L29" s="462">
        <f t="shared" si="1"/>
        <v>0</v>
      </c>
    </row>
    <row r="30" spans="1:12" x14ac:dyDescent="0.2">
      <c r="A30" s="456" t="str">
        <f>IF(CODIGOS!$A28="","",CODIGOS!$A28)</f>
        <v>C000523</v>
      </c>
      <c r="B30" s="443" t="str">
        <f>IF(CODIGOS!$B28="","",CODIGOS!$B28)</f>
        <v>CAFÉ INSTANTANEO</v>
      </c>
      <c r="C30" s="457" t="str">
        <f>IF(CODIGOS!$E28="","",CODIGOS!$E28)</f>
        <v>TA 400 gr</v>
      </c>
      <c r="D30" s="452">
        <f>IF($A30="","",SUMIF(LUNES!$B:$B,$A30,LUNES!$D:$D))</f>
        <v>0.08</v>
      </c>
      <c r="E30" s="449">
        <f>IF($A30="","",SUMIF(MARTES!$B:$B,$A30,MARTES!$D:$D))</f>
        <v>0.08</v>
      </c>
      <c r="F30" s="449">
        <f>IF($A30="","",SUMIF(MIERCOLES!$B:$B,$A30,MIERCOLES!$D:$D))</f>
        <v>0.08</v>
      </c>
      <c r="G30" s="449">
        <f>IF($A30="","",SUMIF(JUEVES!$B:$B,$A30,JUEVES!$D:$D))</f>
        <v>0.08</v>
      </c>
      <c r="H30" s="449">
        <f>IF($A30="","",SUMIF(VIERNES!$B:$B,$A30,VIERNES!$D:$D))</f>
        <v>0.08</v>
      </c>
      <c r="I30" s="449">
        <f>IF($A30="","",SUMIF(SABADO!$B:$B,$A30,SABADO!$D:$D))</f>
        <v>0.08</v>
      </c>
      <c r="J30" s="459">
        <f>IF($A30="","",SUMIF(DOMINGO!$B:$B,$A30,DOMINGO!$D:$D))</f>
        <v>0.08</v>
      </c>
      <c r="K30" s="461">
        <f t="shared" si="0"/>
        <v>0.56000000000000005</v>
      </c>
      <c r="L30" s="462">
        <f t="shared" si="1"/>
        <v>2.2400000000000002</v>
      </c>
    </row>
    <row r="31" spans="1:12" x14ac:dyDescent="0.2">
      <c r="A31" s="456" t="str">
        <f>IF(CODIGOS!$A29="","",CODIGOS!$A29)</f>
        <v>V000048</v>
      </c>
      <c r="B31" s="443" t="str">
        <f>IF(CODIGOS!$B29="","",CODIGOS!$B29)</f>
        <v>CANELA ENTERA</v>
      </c>
      <c r="C31" s="457" t="str">
        <f>IF(CODIGOS!$E29="","",CODIGOS!$E29)</f>
        <v>PQ (15 g)</v>
      </c>
      <c r="D31" s="452">
        <f>IF($A31="","",SUMIF(LUNES!$B:$B,$A31,LUNES!$D:$D))</f>
        <v>0</v>
      </c>
      <c r="E31" s="449">
        <f>IF($A31="","",SUMIF(MARTES!$B:$B,$A31,MARTES!$D:$D))</f>
        <v>0</v>
      </c>
      <c r="F31" s="449">
        <f>IF($A31="","",SUMIF(MIERCOLES!$B:$B,$A31,MIERCOLES!$D:$D))</f>
        <v>0</v>
      </c>
      <c r="G31" s="449">
        <f>IF($A31="","",SUMIF(JUEVES!$B:$B,$A31,JUEVES!$D:$D))</f>
        <v>0</v>
      </c>
      <c r="H31" s="449">
        <f>IF($A31="","",SUMIF(VIERNES!$B:$B,$A31,VIERNES!$D:$D))</f>
        <v>0</v>
      </c>
      <c r="I31" s="449">
        <f>IF($A31="","",SUMIF(SABADO!$B:$B,$A31,SABADO!$D:$D))</f>
        <v>0</v>
      </c>
      <c r="J31" s="459">
        <f>IF($A31="","",SUMIF(DOMINGO!$B:$B,$A31,DOMINGO!$D:$D))</f>
        <v>0</v>
      </c>
      <c r="K31" s="461">
        <f t="shared" si="0"/>
        <v>0</v>
      </c>
      <c r="L31" s="462">
        <f t="shared" si="1"/>
        <v>0</v>
      </c>
    </row>
    <row r="32" spans="1:12" x14ac:dyDescent="0.2">
      <c r="A32" s="456" t="str">
        <f>IF(CODIGOS!$A30="","",CODIGOS!$A30)</f>
        <v>V000049</v>
      </c>
      <c r="B32" s="443" t="str">
        <f>IF(CODIGOS!$B30="","",CODIGOS!$B30)</f>
        <v>CANELA MOLIDA FRASCO</v>
      </c>
      <c r="C32" s="457" t="str">
        <f>IF(CODIGOS!$E30="","",CODIGOS!$E30)</f>
        <v>FR 18 g</v>
      </c>
      <c r="D32" s="452">
        <f>IF($A32="","",SUMIF(LUNES!$B:$B,$A32,LUNES!$D:$D))</f>
        <v>0</v>
      </c>
      <c r="E32" s="449">
        <f>IF($A32="","",SUMIF(MARTES!$B:$B,$A32,MARTES!$D:$D))</f>
        <v>0</v>
      </c>
      <c r="F32" s="449">
        <f>IF($A32="","",SUMIF(MIERCOLES!$B:$B,$A32,MIERCOLES!$D:$D))</f>
        <v>0</v>
      </c>
      <c r="G32" s="449">
        <f>IF($A32="","",SUMIF(JUEVES!$B:$B,$A32,JUEVES!$D:$D))</f>
        <v>0</v>
      </c>
      <c r="H32" s="449">
        <f>IF($A32="","",SUMIF(VIERNES!$B:$B,$A32,VIERNES!$D:$D))</f>
        <v>0</v>
      </c>
      <c r="I32" s="449">
        <f>IF($A32="","",SUMIF(SABADO!$B:$B,$A32,SABADO!$D:$D))</f>
        <v>0</v>
      </c>
      <c r="J32" s="459">
        <f>IF($A32="","",SUMIF(DOMINGO!$B:$B,$A32,DOMINGO!$D:$D))</f>
        <v>0</v>
      </c>
      <c r="K32" s="461">
        <f t="shared" si="0"/>
        <v>0</v>
      </c>
      <c r="L32" s="462">
        <f t="shared" si="1"/>
        <v>0</v>
      </c>
    </row>
    <row r="33" spans="1:12" x14ac:dyDescent="0.2">
      <c r="A33" s="456" t="str">
        <f>IF(CODIGOS!$A31="","",CODIGOS!$A31)</f>
        <v>C902632</v>
      </c>
      <c r="B33" s="443" t="str">
        <f>IF(CODIGOS!$B31="","",CODIGOS!$B31)</f>
        <v>CEBOLLA CUBO TARRO 4,2 KG</v>
      </c>
      <c r="C33" s="457" t="str">
        <f>IF(CODIGOS!$E31="","",CODIGOS!$E31)</f>
        <v>GL</v>
      </c>
      <c r="D33" s="452">
        <f>IF($A33="","",SUMIF(LUNES!$B:$B,$A33,LUNES!$D:$D))</f>
        <v>0</v>
      </c>
      <c r="E33" s="449">
        <f>IF($A33="","",SUMIF(MARTES!$B:$B,$A33,MARTES!$D:$D))</f>
        <v>0</v>
      </c>
      <c r="F33" s="449">
        <f>IF($A33="","",SUMIF(MIERCOLES!$B:$B,$A33,MIERCOLES!$D:$D))</f>
        <v>0</v>
      </c>
      <c r="G33" s="449">
        <f>IF($A33="","",SUMIF(JUEVES!$B:$B,$A33,JUEVES!$D:$D))</f>
        <v>0</v>
      </c>
      <c r="H33" s="449">
        <f>IF($A33="","",SUMIF(VIERNES!$B:$B,$A33,VIERNES!$D:$D))</f>
        <v>0</v>
      </c>
      <c r="I33" s="449">
        <f>IF($A33="","",SUMIF(SABADO!$B:$B,$A33,SABADO!$D:$D))</f>
        <v>0</v>
      </c>
      <c r="J33" s="459">
        <f>IF($A33="","",SUMIF(DOMINGO!$B:$B,$A33,DOMINGO!$D:$D))</f>
        <v>0</v>
      </c>
      <c r="K33" s="461">
        <f t="shared" si="0"/>
        <v>0</v>
      </c>
      <c r="L33" s="462">
        <f t="shared" si="1"/>
        <v>0</v>
      </c>
    </row>
    <row r="34" spans="1:12" x14ac:dyDescent="0.2">
      <c r="A34" s="456" t="str">
        <f>IF(CODIGOS!$A32="","",CODIGOS!$A32)</f>
        <v>C000249</v>
      </c>
      <c r="B34" s="443" t="str">
        <f>IF(CODIGOS!$B32="","",CODIGOS!$B32)</f>
        <v>CEBOLLAS FRESCAS</v>
      </c>
      <c r="C34" s="457" t="str">
        <f>IF(CODIGOS!$E32="","",CODIGOS!$E32)</f>
        <v>KG</v>
      </c>
      <c r="D34" s="452">
        <f>IF($A34="","",SUMIF(LUNES!$B:$B,$A34,LUNES!$D:$D))</f>
        <v>6.4</v>
      </c>
      <c r="E34" s="449">
        <f>IF($A34="","",SUMIF(MARTES!$B:$B,$A34,MARTES!$D:$D))</f>
        <v>5.6</v>
      </c>
      <c r="F34" s="449">
        <f>IF($A34="","",SUMIF(MIERCOLES!$B:$B,$A34,MIERCOLES!$D:$D))</f>
        <v>1.6</v>
      </c>
      <c r="G34" s="449">
        <f>IF($A34="","",SUMIF(JUEVES!$B:$B,$A34,JUEVES!$D:$D))</f>
        <v>30.4</v>
      </c>
      <c r="H34" s="449">
        <f>IF($A34="","",SUMIF(VIERNES!$B:$B,$A34,VIERNES!$D:$D))</f>
        <v>7.6</v>
      </c>
      <c r="I34" s="449">
        <f>IF($A34="","",SUMIF(SABADO!$B:$B,$A34,SABADO!$D:$D))</f>
        <v>4</v>
      </c>
      <c r="J34" s="459">
        <f>IF($A34="","",SUMIF(DOMINGO!$B:$B,$A34,DOMINGO!$D:$D))</f>
        <v>1.6</v>
      </c>
      <c r="K34" s="461">
        <f t="shared" si="0"/>
        <v>57.2</v>
      </c>
      <c r="L34" s="462">
        <f t="shared" si="1"/>
        <v>228.8</v>
      </c>
    </row>
    <row r="35" spans="1:12" x14ac:dyDescent="0.2">
      <c r="A35" s="456" t="str">
        <f>IF(CODIGOS!$A33="","",CODIGOS!$A33)</f>
        <v>V000337</v>
      </c>
      <c r="B35" s="443" t="str">
        <f>IF(CODIGOS!$B33="","",CODIGOS!$B33)</f>
        <v>CEBOLLIN</v>
      </c>
      <c r="C35" s="457" t="str">
        <f>IF(CODIGOS!$E33="","",CODIGOS!$E33)</f>
        <v>NR (400 g)</v>
      </c>
      <c r="D35" s="452">
        <f>IF($A35="","",SUMIF(LUNES!$B:$B,$A35,LUNES!$D:$D))</f>
        <v>0</v>
      </c>
      <c r="E35" s="449">
        <f>IF($A35="","",SUMIF(MARTES!$B:$B,$A35,MARTES!$D:$D))</f>
        <v>0</v>
      </c>
      <c r="F35" s="449">
        <f>IF($A35="","",SUMIF(MIERCOLES!$B:$B,$A35,MIERCOLES!$D:$D))</f>
        <v>1.2</v>
      </c>
      <c r="G35" s="449">
        <f>IF($A35="","",SUMIF(JUEVES!$B:$B,$A35,JUEVES!$D:$D))</f>
        <v>0</v>
      </c>
      <c r="H35" s="449">
        <f>IF($A35="","",SUMIF(VIERNES!$B:$B,$A35,VIERNES!$D:$D))</f>
        <v>0</v>
      </c>
      <c r="I35" s="449">
        <f>IF($A35="","",SUMIF(SABADO!$B:$B,$A35,SABADO!$D:$D))</f>
        <v>0</v>
      </c>
      <c r="J35" s="459">
        <f>IF($A35="","",SUMIF(DOMINGO!$B:$B,$A35,DOMINGO!$D:$D))</f>
        <v>0</v>
      </c>
      <c r="K35" s="461">
        <f t="shared" si="0"/>
        <v>1.2</v>
      </c>
      <c r="L35" s="462">
        <f t="shared" si="1"/>
        <v>4.8</v>
      </c>
    </row>
    <row r="36" spans="1:12" x14ac:dyDescent="0.2">
      <c r="A36" s="456" t="str">
        <f>IF(CODIGOS!$A34="","",CODIGOS!$A34)</f>
        <v>C903421</v>
      </c>
      <c r="B36" s="443" t="str">
        <f>IF(CODIGOS!$B34="","",CODIGOS!$B34)</f>
        <v>CERDO FILETE</v>
      </c>
      <c r="C36" s="457" t="str">
        <f>IF(CODIGOS!$E34="","",CODIGOS!$E34)</f>
        <v>KG</v>
      </c>
      <c r="D36" s="452">
        <f>IF($A36="","",SUMIF(LUNES!$B:$B,$A36,LUNES!$D:$D))</f>
        <v>0</v>
      </c>
      <c r="E36" s="449">
        <f>IF($A36="","",SUMIF(MARTES!$B:$B,$A36,MARTES!$D:$D))</f>
        <v>0</v>
      </c>
      <c r="F36" s="449">
        <f>IF($A36="","",SUMIF(MIERCOLES!$B:$B,$A36,MIERCOLES!$D:$D))</f>
        <v>0</v>
      </c>
      <c r="G36" s="449">
        <f>IF($A36="","",SUMIF(JUEVES!$B:$B,$A36,JUEVES!$D:$D))</f>
        <v>0</v>
      </c>
      <c r="H36" s="449">
        <f>IF($A36="","",SUMIF(VIERNES!$B:$B,$A36,VIERNES!$D:$D))</f>
        <v>0</v>
      </c>
      <c r="I36" s="449">
        <f>IF($A36="","",SUMIF(SABADO!$B:$B,$A36,SABADO!$D:$D))</f>
        <v>5.6</v>
      </c>
      <c r="J36" s="459">
        <f>IF($A36="","",SUMIF(DOMINGO!$B:$B,$A36,DOMINGO!$D:$D))</f>
        <v>0</v>
      </c>
      <c r="K36" s="461">
        <f t="shared" si="0"/>
        <v>5.6</v>
      </c>
      <c r="L36" s="462">
        <f t="shared" si="1"/>
        <v>22.4</v>
      </c>
    </row>
    <row r="37" spans="1:12" x14ac:dyDescent="0.2">
      <c r="A37" s="456" t="str">
        <f>IF(CODIGOS!$A35="","",CODIGOS!$A35)</f>
        <v>C903333</v>
      </c>
      <c r="B37" s="443" t="str">
        <f>IF(CODIGOS!$B35="","",CODIGOS!$B35)</f>
        <v>CHAMPIÑON 400 G</v>
      </c>
      <c r="C37" s="457" t="str">
        <f>IF(CODIGOS!$E35="","",CODIGOS!$E35)</f>
        <v>TA 400 gr</v>
      </c>
      <c r="D37" s="452">
        <f>IF($A37="","",SUMIF(LUNES!$B:$B,$A37,LUNES!$D:$D))</f>
        <v>0</v>
      </c>
      <c r="E37" s="449">
        <f>IF($A37="","",SUMIF(MARTES!$B:$B,$A37,MARTES!$D:$D))</f>
        <v>0</v>
      </c>
      <c r="F37" s="449">
        <f>IF($A37="","",SUMIF(MIERCOLES!$B:$B,$A37,MIERCOLES!$D:$D))</f>
        <v>0</v>
      </c>
      <c r="G37" s="449">
        <f>IF($A37="","",SUMIF(JUEVES!$B:$B,$A37,JUEVES!$D:$D))</f>
        <v>0</v>
      </c>
      <c r="H37" s="449">
        <f>IF($A37="","",SUMIF(VIERNES!$B:$B,$A37,VIERNES!$D:$D))</f>
        <v>0</v>
      </c>
      <c r="I37" s="449">
        <f>IF($A37="","",SUMIF(SABADO!$B:$B,$A37,SABADO!$D:$D))</f>
        <v>0</v>
      </c>
      <c r="J37" s="459">
        <f>IF($A37="","",SUMIF(DOMINGO!$B:$B,$A37,DOMINGO!$D:$D))</f>
        <v>0</v>
      </c>
      <c r="K37" s="461">
        <f t="shared" si="0"/>
        <v>0</v>
      </c>
      <c r="L37" s="462">
        <f t="shared" si="1"/>
        <v>0</v>
      </c>
    </row>
    <row r="38" spans="1:12" x14ac:dyDescent="0.2">
      <c r="A38" s="456" t="str">
        <f>IF(CODIGOS!$A36="","",CODIGOS!$A36)</f>
        <v>V000063</v>
      </c>
      <c r="B38" s="443" t="str">
        <f>IF(CODIGOS!$B36="","",CODIGOS!$B36)</f>
        <v>CHAMPIÑON CONSERVA</v>
      </c>
      <c r="C38" s="457" t="str">
        <f>IF(CODIGOS!$E36="","",CODIGOS!$E36)</f>
        <v>TA 400 gr</v>
      </c>
      <c r="D38" s="452">
        <f>IF($A38="","",SUMIF(LUNES!$B:$B,$A38,LUNES!$D:$D))</f>
        <v>0</v>
      </c>
      <c r="E38" s="449">
        <f>IF($A38="","",SUMIF(MARTES!$B:$B,$A38,MARTES!$D:$D))</f>
        <v>0</v>
      </c>
      <c r="F38" s="449">
        <f>IF($A38="","",SUMIF(MIERCOLES!$B:$B,$A38,MIERCOLES!$D:$D))</f>
        <v>0</v>
      </c>
      <c r="G38" s="449">
        <f>IF($A38="","",SUMIF(JUEVES!$B:$B,$A38,JUEVES!$D:$D))</f>
        <v>0</v>
      </c>
      <c r="H38" s="449">
        <f>IF($A38="","",SUMIF(VIERNES!$B:$B,$A38,VIERNES!$D:$D))</f>
        <v>0</v>
      </c>
      <c r="I38" s="449">
        <f>IF($A38="","",SUMIF(SABADO!$B:$B,$A38,SABADO!$D:$D))</f>
        <v>0</v>
      </c>
      <c r="J38" s="459">
        <f>IF($A38="","",SUMIF(DOMINGO!$B:$B,$A38,DOMINGO!$D:$D))</f>
        <v>0</v>
      </c>
      <c r="K38" s="461">
        <f t="shared" si="0"/>
        <v>0</v>
      </c>
      <c r="L38" s="462">
        <f t="shared" si="1"/>
        <v>0</v>
      </c>
    </row>
    <row r="39" spans="1:12" x14ac:dyDescent="0.2">
      <c r="A39" s="456" t="str">
        <f>IF(CODIGOS!$A37="","",CODIGOS!$A37)</f>
        <v>V000064</v>
      </c>
      <c r="B39" s="443" t="str">
        <f>IF(CODIGOS!$B37="","",CODIGOS!$B37)</f>
        <v>CHAMPIÑON NATURAL</v>
      </c>
      <c r="C39" s="457" t="str">
        <f>IF(CODIGOS!$E37="","",CODIGOS!$E37)</f>
        <v>PQTE (200 g)</v>
      </c>
      <c r="D39" s="452">
        <f>IF($A39="","",SUMIF(LUNES!$B:$B,$A39,LUNES!$D:$D))</f>
        <v>0</v>
      </c>
      <c r="E39" s="449">
        <f>IF($A39="","",SUMIF(MARTES!$B:$B,$A39,MARTES!$D:$D))</f>
        <v>0</v>
      </c>
      <c r="F39" s="449">
        <f>IF($A39="","",SUMIF(MIERCOLES!$B:$B,$A39,MIERCOLES!$D:$D))</f>
        <v>0</v>
      </c>
      <c r="G39" s="449">
        <f>IF($A39="","",SUMIF(JUEVES!$B:$B,$A39,JUEVES!$D:$D))</f>
        <v>0</v>
      </c>
      <c r="H39" s="449">
        <f>IF($A39="","",SUMIF(VIERNES!$B:$B,$A39,VIERNES!$D:$D))</f>
        <v>0</v>
      </c>
      <c r="I39" s="449">
        <f>IF($A39="","",SUMIF(SABADO!$B:$B,$A39,SABADO!$D:$D))</f>
        <v>0</v>
      </c>
      <c r="J39" s="459">
        <f>IF($A39="","",SUMIF(DOMINGO!$B:$B,$A39,DOMINGO!$D:$D))</f>
        <v>0</v>
      </c>
      <c r="K39" s="461">
        <f t="shared" si="0"/>
        <v>0</v>
      </c>
      <c r="L39" s="462">
        <f t="shared" si="1"/>
        <v>0</v>
      </c>
    </row>
    <row r="40" spans="1:12" x14ac:dyDescent="0.2">
      <c r="A40" s="456" t="str">
        <f>IF(CODIGOS!$A38="","",CODIGOS!$A38)</f>
        <v>V000803</v>
      </c>
      <c r="B40" s="443" t="str">
        <f>IF(CODIGOS!$B38="","",CODIGOS!$B38)</f>
        <v>CHAPSUI MEZCLA</v>
      </c>
      <c r="C40" s="457" t="str">
        <f>IF(CODIGOS!$E38="","",CODIGOS!$E38)</f>
        <v>KG</v>
      </c>
      <c r="D40" s="452">
        <f>IF($A40="","",SUMIF(LUNES!$B:$B,$A40,LUNES!$D:$D))</f>
        <v>0</v>
      </c>
      <c r="E40" s="449">
        <f>IF($A40="","",SUMIF(MARTES!$B:$B,$A40,MARTES!$D:$D))</f>
        <v>0</v>
      </c>
      <c r="F40" s="449">
        <f>IF($A40="","",SUMIF(MIERCOLES!$B:$B,$A40,MIERCOLES!$D:$D))</f>
        <v>0</v>
      </c>
      <c r="G40" s="449">
        <f>IF($A40="","",SUMIF(JUEVES!$B:$B,$A40,JUEVES!$D:$D))</f>
        <v>0</v>
      </c>
      <c r="H40" s="449">
        <f>IF($A40="","",SUMIF(VIERNES!$B:$B,$A40,VIERNES!$D:$D))</f>
        <v>0</v>
      </c>
      <c r="I40" s="449">
        <f>IF($A40="","",SUMIF(SABADO!$B:$B,$A40,SABADO!$D:$D))</f>
        <v>0</v>
      </c>
      <c r="J40" s="459">
        <f>IF($A40="","",SUMIF(DOMINGO!$B:$B,$A40,DOMINGO!$D:$D))</f>
        <v>0</v>
      </c>
      <c r="K40" s="461">
        <f t="shared" si="0"/>
        <v>0</v>
      </c>
      <c r="L40" s="462">
        <f t="shared" si="1"/>
        <v>0</v>
      </c>
    </row>
    <row r="41" spans="1:12" x14ac:dyDescent="0.2">
      <c r="A41" s="456" t="str">
        <f>IF(CODIGOS!$A39="","",CODIGOS!$A39)</f>
        <v>C903292</v>
      </c>
      <c r="B41" s="443" t="str">
        <f>IF(CODIGOS!$B39="","",CODIGOS!$B39)</f>
        <v>CHOCLO GRANO CONGELADO</v>
      </c>
      <c r="C41" s="457" t="str">
        <f>IF(CODIGOS!$E39="","",CODIGOS!$E39)</f>
        <v>KG</v>
      </c>
      <c r="D41" s="452">
        <f>IF($A41="","",SUMIF(LUNES!$B:$B,$A41,LUNES!$D:$D))</f>
        <v>0</v>
      </c>
      <c r="E41" s="449">
        <f>IF($A41="","",SUMIF(MARTES!$B:$B,$A41,MARTES!$D:$D))</f>
        <v>0</v>
      </c>
      <c r="F41" s="449">
        <f>IF($A41="","",SUMIF(MIERCOLES!$B:$B,$A41,MIERCOLES!$D:$D))</f>
        <v>12</v>
      </c>
      <c r="G41" s="449">
        <f>IF($A41="","",SUMIF(JUEVES!$B:$B,$A41,JUEVES!$D:$D))</f>
        <v>0</v>
      </c>
      <c r="H41" s="449">
        <f>IF($A41="","",SUMIF(VIERNES!$B:$B,$A41,VIERNES!$D:$D))</f>
        <v>0</v>
      </c>
      <c r="I41" s="449">
        <f>IF($A41="","",SUMIF(SABADO!$B:$B,$A41,SABADO!$D:$D))</f>
        <v>0</v>
      </c>
      <c r="J41" s="459">
        <f>IF($A41="","",SUMIF(DOMINGO!$B:$B,$A41,DOMINGO!$D:$D))</f>
        <v>0</v>
      </c>
      <c r="K41" s="461">
        <f t="shared" si="0"/>
        <v>12</v>
      </c>
      <c r="L41" s="462">
        <f t="shared" si="1"/>
        <v>48</v>
      </c>
    </row>
    <row r="42" spans="1:12" x14ac:dyDescent="0.2">
      <c r="A42" s="456" t="str">
        <f>IF(CODIGOS!$A40="","",CODIGOS!$A40)</f>
        <v>V000073</v>
      </c>
      <c r="B42" s="443" t="str">
        <f>IF(CODIGOS!$B40="","",CODIGOS!$B40)</f>
        <v>CHOCOLATE EN POLVO</v>
      </c>
      <c r="C42" s="457" t="str">
        <f>IF(CODIGOS!$E40="","",CODIGOS!$E40)</f>
        <v>KG</v>
      </c>
      <c r="D42" s="452">
        <f>IF($A42="","",SUMIF(LUNES!$B:$B,$A42,LUNES!$D:$D))</f>
        <v>0</v>
      </c>
      <c r="E42" s="449">
        <f>IF($A42="","",SUMIF(MARTES!$B:$B,$A42,MARTES!$D:$D))</f>
        <v>0</v>
      </c>
      <c r="F42" s="449">
        <f>IF($A42="","",SUMIF(MIERCOLES!$B:$B,$A42,MIERCOLES!$D:$D))</f>
        <v>0</v>
      </c>
      <c r="G42" s="449">
        <f>IF($A42="","",SUMIF(JUEVES!$B:$B,$A42,JUEVES!$D:$D))</f>
        <v>0</v>
      </c>
      <c r="H42" s="449">
        <f>IF($A42="","",SUMIF(VIERNES!$B:$B,$A42,VIERNES!$D:$D))</f>
        <v>0</v>
      </c>
      <c r="I42" s="449">
        <f>IF($A42="","",SUMIF(SABADO!$B:$B,$A42,SABADO!$D:$D))</f>
        <v>0</v>
      </c>
      <c r="J42" s="459">
        <f>IF($A42="","",SUMIF(DOMINGO!$B:$B,$A42,DOMINGO!$D:$D))</f>
        <v>0</v>
      </c>
      <c r="K42" s="461">
        <f t="shared" si="0"/>
        <v>0</v>
      </c>
      <c r="L42" s="462">
        <f t="shared" si="1"/>
        <v>0</v>
      </c>
    </row>
    <row r="43" spans="1:12" x14ac:dyDescent="0.2">
      <c r="A43" s="456" t="str">
        <f>IF(CODIGOS!$A41="","",CODIGOS!$A41)</f>
        <v>V000079</v>
      </c>
      <c r="B43" s="443" t="str">
        <f>IF(CODIGOS!$B41="","",CODIGOS!$B41)</f>
        <v>CHORIZO</v>
      </c>
      <c r="C43" s="457" t="str">
        <f>IF(CODIGOS!$E41="","",CODIGOS!$E41)</f>
        <v>KG</v>
      </c>
      <c r="D43" s="452">
        <f>IF($A43="","",SUMIF(LUNES!$B:$B,$A43,LUNES!$D:$D))</f>
        <v>0</v>
      </c>
      <c r="E43" s="449">
        <f>IF($A43="","",SUMIF(MARTES!$B:$B,$A43,MARTES!$D:$D))</f>
        <v>0</v>
      </c>
      <c r="F43" s="449">
        <f>IF($A43="","",SUMIF(MIERCOLES!$B:$B,$A43,MIERCOLES!$D:$D))</f>
        <v>0</v>
      </c>
      <c r="G43" s="449">
        <f>IF($A43="","",SUMIF(JUEVES!$B:$B,$A43,JUEVES!$D:$D))</f>
        <v>0</v>
      </c>
      <c r="H43" s="449">
        <f>IF($A43="","",SUMIF(VIERNES!$B:$B,$A43,VIERNES!$D:$D))</f>
        <v>0</v>
      </c>
      <c r="I43" s="449">
        <f>IF($A43="","",SUMIF(SABADO!$B:$B,$A43,SABADO!$D:$D))</f>
        <v>2</v>
      </c>
      <c r="J43" s="459">
        <f>IF($A43="","",SUMIF(DOMINGO!$B:$B,$A43,DOMINGO!$D:$D))</f>
        <v>0</v>
      </c>
      <c r="K43" s="461">
        <f t="shared" si="0"/>
        <v>2</v>
      </c>
      <c r="L43" s="462">
        <f t="shared" si="1"/>
        <v>8</v>
      </c>
    </row>
    <row r="44" spans="1:12" x14ac:dyDescent="0.2">
      <c r="A44" s="456" t="str">
        <f>IF(CODIGOS!$A42="","",CODIGOS!$A42)</f>
        <v>V001103</v>
      </c>
      <c r="B44" s="443" t="str">
        <f>IF(CODIGOS!$B42="","",CODIGOS!$B42)</f>
        <v>CIBOULETTE</v>
      </c>
      <c r="C44" s="457" t="str">
        <f>IF(CODIGOS!$E42="","",CODIGOS!$E42)</f>
        <v>PQ (50 g)</v>
      </c>
      <c r="D44" s="452">
        <f>IF($A44="","",SUMIF(LUNES!$B:$B,$A44,LUNES!$D:$D))</f>
        <v>0</v>
      </c>
      <c r="E44" s="449">
        <f>IF($A44="","",SUMIF(MARTES!$B:$B,$A44,MARTES!$D:$D))</f>
        <v>0</v>
      </c>
      <c r="F44" s="449">
        <f>IF($A44="","",SUMIF(MIERCOLES!$B:$B,$A44,MIERCOLES!$D:$D))</f>
        <v>0</v>
      </c>
      <c r="G44" s="449">
        <f>IF($A44="","",SUMIF(JUEVES!$B:$B,$A44,JUEVES!$D:$D))</f>
        <v>0</v>
      </c>
      <c r="H44" s="449">
        <f>IF($A44="","",SUMIF(VIERNES!$B:$B,$A44,VIERNES!$D:$D))</f>
        <v>0</v>
      </c>
      <c r="I44" s="449">
        <f>IF($A44="","",SUMIF(SABADO!$B:$B,$A44,SABADO!$D:$D))</f>
        <v>0</v>
      </c>
      <c r="J44" s="459">
        <f>IF($A44="","",SUMIF(DOMINGO!$B:$B,$A44,DOMINGO!$D:$D))</f>
        <v>0</v>
      </c>
      <c r="K44" s="461">
        <f t="shared" si="0"/>
        <v>0</v>
      </c>
      <c r="L44" s="462">
        <f t="shared" si="1"/>
        <v>0</v>
      </c>
    </row>
    <row r="45" spans="1:12" x14ac:dyDescent="0.2">
      <c r="A45" s="456" t="str">
        <f>IF(CODIGOS!$A43="","",CODIGOS!$A43)</f>
        <v>V000083</v>
      </c>
      <c r="B45" s="443" t="str">
        <f>IF(CODIGOS!$B43="","",CODIGOS!$B43)</f>
        <v>CILANTRO</v>
      </c>
      <c r="C45" s="457" t="str">
        <f>IF(CODIGOS!$E43="","",CODIGOS!$E43)</f>
        <v>AT</v>
      </c>
      <c r="D45" s="452">
        <f>IF($A45="","",SUMIF(LUNES!$B:$B,$A45,LUNES!$D:$D))</f>
        <v>0.16</v>
      </c>
      <c r="E45" s="449">
        <f>IF($A45="","",SUMIF(MARTES!$B:$B,$A45,MARTES!$D:$D))</f>
        <v>0</v>
      </c>
      <c r="F45" s="449">
        <f>IF($A45="","",SUMIF(MIERCOLES!$B:$B,$A45,MIERCOLES!$D:$D))</f>
        <v>0</v>
      </c>
      <c r="G45" s="449">
        <f>IF($A45="","",SUMIF(JUEVES!$B:$B,$A45,JUEVES!$D:$D))</f>
        <v>0.2</v>
      </c>
      <c r="H45" s="449">
        <f>IF($A45="","",SUMIF(VIERNES!$B:$B,$A45,VIERNES!$D:$D))</f>
        <v>0</v>
      </c>
      <c r="I45" s="449">
        <f>IF($A45="","",SUMIF(SABADO!$B:$B,$A45,SABADO!$D:$D))</f>
        <v>0</v>
      </c>
      <c r="J45" s="459">
        <f>IF($A45="","",SUMIF(DOMINGO!$B:$B,$A45,DOMINGO!$D:$D))</f>
        <v>0</v>
      </c>
      <c r="K45" s="461">
        <f t="shared" si="0"/>
        <v>0.36</v>
      </c>
      <c r="L45" s="462">
        <f t="shared" si="1"/>
        <v>1.44</v>
      </c>
    </row>
    <row r="46" spans="1:12" x14ac:dyDescent="0.2">
      <c r="A46" s="456" t="str">
        <f>IF(CODIGOS!$A44="","",CODIGOS!$A44)</f>
        <v>V001104</v>
      </c>
      <c r="B46" s="443" t="str">
        <f>IF(CODIGOS!$B44="","",CODIGOS!$B44)</f>
        <v>CILANTRO KILO</v>
      </c>
      <c r="C46" s="457" t="str">
        <f>IF(CODIGOS!$E44="","",CODIGOS!$E44)</f>
        <v>KG</v>
      </c>
      <c r="D46" s="452">
        <f>IF($A46="","",SUMIF(LUNES!$B:$B,$A46,LUNES!$D:$D))</f>
        <v>0</v>
      </c>
      <c r="E46" s="449">
        <f>IF($A46="","",SUMIF(MARTES!$B:$B,$A46,MARTES!$D:$D))</f>
        <v>0</v>
      </c>
      <c r="F46" s="449">
        <f>IF($A46="","",SUMIF(MIERCOLES!$B:$B,$A46,MIERCOLES!$D:$D))</f>
        <v>0</v>
      </c>
      <c r="G46" s="449">
        <f>IF($A46="","",SUMIF(JUEVES!$B:$B,$A46,JUEVES!$D:$D))</f>
        <v>0</v>
      </c>
      <c r="H46" s="449">
        <f>IF($A46="","",SUMIF(VIERNES!$B:$B,$A46,VIERNES!$D:$D))</f>
        <v>0</v>
      </c>
      <c r="I46" s="449">
        <f>IF($A46="","",SUMIF(SABADO!$B:$B,$A46,SABADO!$D:$D))</f>
        <v>0</v>
      </c>
      <c r="J46" s="459">
        <f>IF($A46="","",SUMIF(DOMINGO!$B:$B,$A46,DOMINGO!$D:$D))</f>
        <v>0</v>
      </c>
      <c r="K46" s="461">
        <f t="shared" si="0"/>
        <v>0</v>
      </c>
      <c r="L46" s="462">
        <f t="shared" si="1"/>
        <v>0</v>
      </c>
    </row>
    <row r="47" spans="1:12" x14ac:dyDescent="0.2">
      <c r="A47" s="456" t="str">
        <f>IF(CODIGOS!$A45="","",CODIGOS!$A45)</f>
        <v>V000787</v>
      </c>
      <c r="B47" s="443" t="str">
        <f>IF(CODIGOS!$B45="","",CODIGOS!$B45)</f>
        <v>CIRUELA SECA DESCAROZADA</v>
      </c>
      <c r="C47" s="457" t="str">
        <f>IF(CODIGOS!$E45="","",CODIGOS!$E45)</f>
        <v>KG</v>
      </c>
      <c r="D47" s="452">
        <f>IF($A47="","",SUMIF(LUNES!$B:$B,$A47,LUNES!$D:$D))</f>
        <v>0</v>
      </c>
      <c r="E47" s="449">
        <f>IF($A47="","",SUMIF(MARTES!$B:$B,$A47,MARTES!$D:$D))</f>
        <v>0</v>
      </c>
      <c r="F47" s="449">
        <f>IF($A47="","",SUMIF(MIERCOLES!$B:$B,$A47,MIERCOLES!$D:$D))</f>
        <v>0</v>
      </c>
      <c r="G47" s="449">
        <f>IF($A47="","",SUMIF(JUEVES!$B:$B,$A47,JUEVES!$D:$D))</f>
        <v>0</v>
      </c>
      <c r="H47" s="449">
        <f>IF($A47="","",SUMIF(VIERNES!$B:$B,$A47,VIERNES!$D:$D))</f>
        <v>0</v>
      </c>
      <c r="I47" s="449">
        <f>IF($A47="","",SUMIF(SABADO!$B:$B,$A47,SABADO!$D:$D))</f>
        <v>0</v>
      </c>
      <c r="J47" s="459">
        <f>IF($A47="","",SUMIF(DOMINGO!$B:$B,$A47,DOMINGO!$D:$D))</f>
        <v>0</v>
      </c>
      <c r="K47" s="461">
        <f t="shared" si="0"/>
        <v>0</v>
      </c>
      <c r="L47" s="462">
        <f t="shared" si="1"/>
        <v>0</v>
      </c>
    </row>
    <row r="48" spans="1:12" x14ac:dyDescent="0.2">
      <c r="A48" s="456" t="str">
        <f>IF(CODIGOS!$A46="","",CODIGOS!$A46)</f>
        <v>C903236</v>
      </c>
      <c r="B48" s="443" t="str">
        <f>IF(CODIGOS!$B46="","",CODIGOS!$B46)</f>
        <v>COCKTAIL DE FRUTAS</v>
      </c>
      <c r="C48" s="457" t="str">
        <f>IF(CODIGOS!$E46="","",CODIGOS!$E46)</f>
        <v>GL 3 KG</v>
      </c>
      <c r="D48" s="452">
        <f>IF($A48="","",SUMIF(LUNES!$B:$B,$A48,LUNES!$D:$D))</f>
        <v>0</v>
      </c>
      <c r="E48" s="449">
        <f>IF($A48="","",SUMIF(MARTES!$B:$B,$A48,MARTES!$D:$D))</f>
        <v>0</v>
      </c>
      <c r="F48" s="449">
        <f>IF($A48="","",SUMIF(MIERCOLES!$B:$B,$A48,MIERCOLES!$D:$D))</f>
        <v>0</v>
      </c>
      <c r="G48" s="449">
        <f>IF($A48="","",SUMIF(JUEVES!$B:$B,$A48,JUEVES!$D:$D))</f>
        <v>0</v>
      </c>
      <c r="H48" s="449">
        <f>IF($A48="","",SUMIF(VIERNES!$B:$B,$A48,VIERNES!$D:$D))</f>
        <v>0</v>
      </c>
      <c r="I48" s="449">
        <f>IF($A48="","",SUMIF(SABADO!$B:$B,$A48,SABADO!$D:$D))</f>
        <v>0</v>
      </c>
      <c r="J48" s="459">
        <f>IF($A48="","",SUMIF(DOMINGO!$B:$B,$A48,DOMINGO!$D:$D))</f>
        <v>0</v>
      </c>
      <c r="K48" s="461">
        <f t="shared" si="0"/>
        <v>0</v>
      </c>
      <c r="L48" s="462">
        <f t="shared" si="1"/>
        <v>0</v>
      </c>
    </row>
    <row r="49" spans="1:12" x14ac:dyDescent="0.2">
      <c r="A49" s="456" t="str">
        <f>IF(CODIGOS!$A47="","",CODIGOS!$A47)</f>
        <v>V000090</v>
      </c>
      <c r="B49" s="443" t="str">
        <f>IF(CODIGOS!$B47="","",CODIGOS!$B47)</f>
        <v>COLIFLOR CONGELADO</v>
      </c>
      <c r="C49" s="457" t="str">
        <f>IF(CODIGOS!$E47="","",CODIGOS!$E47)</f>
        <v>KG</v>
      </c>
      <c r="D49" s="452">
        <f>IF($A49="","",SUMIF(LUNES!$B:$B,$A49,LUNES!$D:$D))</f>
        <v>0</v>
      </c>
      <c r="E49" s="449">
        <f>IF($A49="","",SUMIF(MARTES!$B:$B,$A49,MARTES!$D:$D))</f>
        <v>0</v>
      </c>
      <c r="F49" s="449">
        <f>IF($A49="","",SUMIF(MIERCOLES!$B:$B,$A49,MIERCOLES!$D:$D))</f>
        <v>0</v>
      </c>
      <c r="G49" s="449">
        <f>IF($A49="","",SUMIF(JUEVES!$B:$B,$A49,JUEVES!$D:$D))</f>
        <v>0</v>
      </c>
      <c r="H49" s="449">
        <f>IF($A49="","",SUMIF(VIERNES!$B:$B,$A49,VIERNES!$D:$D))</f>
        <v>0</v>
      </c>
      <c r="I49" s="449">
        <f>IF($A49="","",SUMIF(SABADO!$B:$B,$A49,SABADO!$D:$D))</f>
        <v>0</v>
      </c>
      <c r="J49" s="459">
        <f>IF($A49="","",SUMIF(DOMINGO!$B:$B,$A49,DOMINGO!$D:$D))</f>
        <v>0</v>
      </c>
      <c r="K49" s="461">
        <f t="shared" si="0"/>
        <v>0</v>
      </c>
      <c r="L49" s="462">
        <f t="shared" si="1"/>
        <v>0</v>
      </c>
    </row>
    <row r="50" spans="1:12" x14ac:dyDescent="0.2">
      <c r="A50" s="456" t="str">
        <f>IF(CODIGOS!$A48="","",CODIGOS!$A48)</f>
        <v>V000091</v>
      </c>
      <c r="B50" s="443" t="str">
        <f>IF(CODIGOS!$B48="","",CODIGOS!$B48)</f>
        <v>COLIFLORES NATURAL</v>
      </c>
      <c r="C50" s="457" t="str">
        <f>IF(CODIGOS!$E48="","",CODIGOS!$E48)</f>
        <v>NR 1000 gr</v>
      </c>
      <c r="D50" s="452">
        <f>IF($A50="","",SUMIF(LUNES!$B:$B,$A50,LUNES!$D:$D))</f>
        <v>0</v>
      </c>
      <c r="E50" s="449">
        <f>IF($A50="","",SUMIF(MARTES!$B:$B,$A50,MARTES!$D:$D))</f>
        <v>0</v>
      </c>
      <c r="F50" s="449">
        <f>IF($A50="","",SUMIF(MIERCOLES!$B:$B,$A50,MIERCOLES!$D:$D))</f>
        <v>0</v>
      </c>
      <c r="G50" s="449">
        <f>IF($A50="","",SUMIF(JUEVES!$B:$B,$A50,JUEVES!$D:$D))</f>
        <v>0</v>
      </c>
      <c r="H50" s="449">
        <f>IF($A50="","",SUMIF(VIERNES!$B:$B,$A50,VIERNES!$D:$D))</f>
        <v>0</v>
      </c>
      <c r="I50" s="449">
        <f>IF($A50="","",SUMIF(SABADO!$B:$B,$A50,SABADO!$D:$D))</f>
        <v>0</v>
      </c>
      <c r="J50" s="459">
        <f>IF($A50="","",SUMIF(DOMINGO!$B:$B,$A50,DOMINGO!$D:$D))</f>
        <v>0</v>
      </c>
      <c r="K50" s="461">
        <f t="shared" si="0"/>
        <v>0</v>
      </c>
      <c r="L50" s="462">
        <f t="shared" si="1"/>
        <v>0</v>
      </c>
    </row>
    <row r="51" spans="1:12" x14ac:dyDescent="0.2">
      <c r="A51" s="456" t="str">
        <f>IF(CODIGOS!$A49="","",CODIGOS!$A49)</f>
        <v>C903242</v>
      </c>
      <c r="B51" s="443" t="str">
        <f>IF(CODIGOS!$B49="","",CODIGOS!$B49)</f>
        <v>CONCENTRADO TOMATES KG</v>
      </c>
      <c r="C51" s="457" t="str">
        <f>IF(CODIGOS!$E49="","",CODIGOS!$E49)</f>
        <v>KG</v>
      </c>
      <c r="D51" s="452">
        <f>IF($A51="","",SUMIF(LUNES!$B:$B,$A51,LUNES!$D:$D))</f>
        <v>3.6</v>
      </c>
      <c r="E51" s="449">
        <f>IF($A51="","",SUMIF(MARTES!$B:$B,$A51,MARTES!$D:$D))</f>
        <v>0</v>
      </c>
      <c r="F51" s="449">
        <f>IF($A51="","",SUMIF(MIERCOLES!$B:$B,$A51,MIERCOLES!$D:$D))</f>
        <v>0</v>
      </c>
      <c r="G51" s="449">
        <f>IF($A51="","",SUMIF(JUEVES!$B:$B,$A51,JUEVES!$D:$D))</f>
        <v>0</v>
      </c>
      <c r="H51" s="449">
        <f>IF($A51="","",SUMIF(VIERNES!$B:$B,$A51,VIERNES!$D:$D))</f>
        <v>0</v>
      </c>
      <c r="I51" s="449">
        <f>IF($A51="","",SUMIF(SABADO!$B:$B,$A51,SABADO!$D:$D))</f>
        <v>0</v>
      </c>
      <c r="J51" s="459">
        <f>IF($A51="","",SUMIF(DOMINGO!$B:$B,$A51,DOMINGO!$D:$D))</f>
        <v>0</v>
      </c>
      <c r="K51" s="461">
        <f t="shared" si="0"/>
        <v>3.6</v>
      </c>
      <c r="L51" s="462">
        <f t="shared" si="1"/>
        <v>14.4</v>
      </c>
    </row>
    <row r="52" spans="1:12" x14ac:dyDescent="0.2">
      <c r="A52" s="456" t="str">
        <f>IF(CODIGOS!$A50="","",CODIGOS!$A50)</f>
        <v>C902845</v>
      </c>
      <c r="B52" s="443" t="str">
        <f>IF(CODIGOS!$B50="","",CODIGOS!$B50)</f>
        <v>CREMA DE CHOCLO</v>
      </c>
      <c r="C52" s="457" t="str">
        <f>IF(CODIGOS!$E50="","",CODIGOS!$E50)</f>
        <v>KG</v>
      </c>
      <c r="D52" s="452">
        <f>IF($A52="","",SUMIF(LUNES!$B:$B,$A52,LUNES!$D:$D))</f>
        <v>0</v>
      </c>
      <c r="E52" s="449">
        <f>IF($A52="","",SUMIF(MARTES!$B:$B,$A52,MARTES!$D:$D))</f>
        <v>0</v>
      </c>
      <c r="F52" s="449">
        <f>IF($A52="","",SUMIF(MIERCOLES!$B:$B,$A52,MIERCOLES!$D:$D))</f>
        <v>0</v>
      </c>
      <c r="G52" s="449">
        <f>IF($A52="","",SUMIF(JUEVES!$B:$B,$A52,JUEVES!$D:$D))</f>
        <v>0.99999999999999944</v>
      </c>
      <c r="H52" s="449">
        <f>IF($A52="","",SUMIF(VIERNES!$B:$B,$A52,VIERNES!$D:$D))</f>
        <v>0</v>
      </c>
      <c r="I52" s="449">
        <f>IF($A52="","",SUMIF(SABADO!$B:$B,$A52,SABADO!$D:$D))</f>
        <v>0</v>
      </c>
      <c r="J52" s="459">
        <f>IF($A52="","",SUMIF(DOMINGO!$B:$B,$A52,DOMINGO!$D:$D))</f>
        <v>0</v>
      </c>
      <c r="K52" s="461">
        <f t="shared" si="0"/>
        <v>0.99999999999999944</v>
      </c>
      <c r="L52" s="462">
        <f t="shared" si="1"/>
        <v>3.9999999999999978</v>
      </c>
    </row>
    <row r="53" spans="1:12" x14ac:dyDescent="0.2">
      <c r="A53" s="456" t="str">
        <f>IF(CODIGOS!$A51="","",CODIGOS!$A51)</f>
        <v>C902846</v>
      </c>
      <c r="B53" s="443" t="str">
        <f>IF(CODIGOS!$B51="","",CODIGOS!$B51)</f>
        <v>CREMA DE ESPARRAGOS</v>
      </c>
      <c r="C53" s="457" t="str">
        <f>IF(CODIGOS!$E51="","",CODIGOS!$E51)</f>
        <v>KG</v>
      </c>
      <c r="D53" s="452">
        <f>IF($A53="","",SUMIF(LUNES!$B:$B,$A53,LUNES!$D:$D))</f>
        <v>0</v>
      </c>
      <c r="E53" s="449">
        <f>IF($A53="","",SUMIF(MARTES!$B:$B,$A53,MARTES!$D:$D))</f>
        <v>0</v>
      </c>
      <c r="F53" s="449">
        <f>IF($A53="","",SUMIF(MIERCOLES!$B:$B,$A53,MIERCOLES!$D:$D))</f>
        <v>0</v>
      </c>
      <c r="G53" s="449">
        <f>IF($A53="","",SUMIF(JUEVES!$B:$B,$A53,JUEVES!$D:$D))</f>
        <v>0</v>
      </c>
      <c r="H53" s="449">
        <f>IF($A53="","",SUMIF(VIERNES!$B:$B,$A53,VIERNES!$D:$D))</f>
        <v>0</v>
      </c>
      <c r="I53" s="449">
        <f>IF($A53="","",SUMIF(SABADO!$B:$B,$A53,SABADO!$D:$D))</f>
        <v>0</v>
      </c>
      <c r="J53" s="459">
        <f>IF($A53="","",SUMIF(DOMINGO!$B:$B,$A53,DOMINGO!$D:$D))</f>
        <v>0</v>
      </c>
      <c r="K53" s="461">
        <f t="shared" si="0"/>
        <v>0</v>
      </c>
      <c r="L53" s="462">
        <f t="shared" si="1"/>
        <v>0</v>
      </c>
    </row>
    <row r="54" spans="1:12" x14ac:dyDescent="0.2">
      <c r="A54" s="456" t="str">
        <f>IF(CODIGOS!$A52="","",CODIGOS!$A52)</f>
        <v>C902847</v>
      </c>
      <c r="B54" s="443" t="str">
        <f>IF(CODIGOS!$B52="","",CODIGOS!$B52)</f>
        <v>CREMA DE POLLO</v>
      </c>
      <c r="C54" s="457" t="str">
        <f>IF(CODIGOS!$E52="","",CODIGOS!$E52)</f>
        <v>KG</v>
      </c>
      <c r="D54" s="452">
        <f>IF($A54="","",SUMIF(LUNES!$B:$B,$A54,LUNES!$D:$D))</f>
        <v>0</v>
      </c>
      <c r="E54" s="449">
        <f>IF($A54="","",SUMIF(MARTES!$B:$B,$A54,MARTES!$D:$D))</f>
        <v>0</v>
      </c>
      <c r="F54" s="449">
        <f>IF($A54="","",SUMIF(MIERCOLES!$B:$B,$A54,MIERCOLES!$D:$D))</f>
        <v>0</v>
      </c>
      <c r="G54" s="449">
        <f>IF($A54="","",SUMIF(JUEVES!$B:$B,$A54,JUEVES!$D:$D))</f>
        <v>0</v>
      </c>
      <c r="H54" s="449">
        <f>IF($A54="","",SUMIF(VIERNES!$B:$B,$A54,VIERNES!$D:$D))</f>
        <v>0</v>
      </c>
      <c r="I54" s="449">
        <f>IF($A54="","",SUMIF(SABADO!$B:$B,$A54,SABADO!$D:$D))</f>
        <v>0</v>
      </c>
      <c r="J54" s="459">
        <f>IF($A54="","",SUMIF(DOMINGO!$B:$B,$A54,DOMINGO!$D:$D))</f>
        <v>1</v>
      </c>
      <c r="K54" s="461">
        <f t="shared" si="0"/>
        <v>1</v>
      </c>
      <c r="L54" s="462">
        <f t="shared" si="1"/>
        <v>4</v>
      </c>
    </row>
    <row r="55" spans="1:12" x14ac:dyDescent="0.2">
      <c r="A55" s="456" t="str">
        <f>IF(CODIGOS!$A53="","",CODIGOS!$A53)</f>
        <v>C902848</v>
      </c>
      <c r="B55" s="443" t="str">
        <f>IF(CODIGOS!$B53="","",CODIGOS!$B53)</f>
        <v>CREMA DE VERDURAS</v>
      </c>
      <c r="C55" s="457" t="str">
        <f>IF(CODIGOS!$E53="","",CODIGOS!$E53)</f>
        <v>KG</v>
      </c>
      <c r="D55" s="452">
        <f>IF($A55="","",SUMIF(LUNES!$B:$B,$A55,LUNES!$D:$D))</f>
        <v>0</v>
      </c>
      <c r="E55" s="449">
        <f>IF($A55="","",SUMIF(MARTES!$B:$B,$A55,MARTES!$D:$D))</f>
        <v>0</v>
      </c>
      <c r="F55" s="449">
        <f>IF($A55="","",SUMIF(MIERCOLES!$B:$B,$A55,MIERCOLES!$D:$D))</f>
        <v>0</v>
      </c>
      <c r="G55" s="449">
        <f>IF($A55="","",SUMIF(JUEVES!$B:$B,$A55,JUEVES!$D:$D))</f>
        <v>0</v>
      </c>
      <c r="H55" s="449">
        <f>IF($A55="","",SUMIF(VIERNES!$B:$B,$A55,VIERNES!$D:$D))</f>
        <v>1</v>
      </c>
      <c r="I55" s="449">
        <f>IF($A55="","",SUMIF(SABADO!$B:$B,$A55,SABADO!$D:$D))</f>
        <v>0</v>
      </c>
      <c r="J55" s="459">
        <f>IF($A55="","",SUMIF(DOMINGO!$B:$B,$A55,DOMINGO!$D:$D))</f>
        <v>0</v>
      </c>
      <c r="K55" s="461">
        <f t="shared" si="0"/>
        <v>1</v>
      </c>
      <c r="L55" s="462">
        <f t="shared" si="1"/>
        <v>4</v>
      </c>
    </row>
    <row r="56" spans="1:12" x14ac:dyDescent="0.2">
      <c r="A56" s="456" t="str">
        <f>IF(CODIGOS!$A55="","",CODIGOS!$A55)</f>
        <v>V000365</v>
      </c>
      <c r="B56" s="443" t="str">
        <f>IF(CODIGOS!$B55="","",CODIGOS!$B55)</f>
        <v>CREMA NESTLE</v>
      </c>
      <c r="C56" s="457" t="str">
        <f>IF(CODIGOS!$E55="","",CODIGOS!$E55)</f>
        <v>TA(240 g)</v>
      </c>
      <c r="D56" s="452">
        <f>IF($A56="","",SUMIF(LUNES!$B:$B,$A56,LUNES!$D:$D))</f>
        <v>0</v>
      </c>
      <c r="E56" s="449">
        <f>IF($A56="","",SUMIF(MARTES!$B:$B,$A56,MARTES!$D:$D))</f>
        <v>0</v>
      </c>
      <c r="F56" s="449">
        <f>IF($A56="","",SUMIF(MIERCOLES!$B:$B,$A56,MIERCOLES!$D:$D))</f>
        <v>0</v>
      </c>
      <c r="G56" s="449">
        <f>IF($A56="","",SUMIF(JUEVES!$B:$B,$A56,JUEVES!$D:$D))</f>
        <v>0</v>
      </c>
      <c r="H56" s="449">
        <f>IF($A56="","",SUMIF(VIERNES!$B:$B,$A56,VIERNES!$D:$D))</f>
        <v>0</v>
      </c>
      <c r="I56" s="449">
        <f>IF($A56="","",SUMIF(SABADO!$B:$B,$A56,SABADO!$D:$D))</f>
        <v>0</v>
      </c>
      <c r="J56" s="459">
        <f>IF($A56="","",SUMIF(DOMINGO!$B:$B,$A56,DOMINGO!$D:$D))</f>
        <v>0</v>
      </c>
      <c r="K56" s="461">
        <f t="shared" si="0"/>
        <v>0</v>
      </c>
      <c r="L56" s="462">
        <f t="shared" si="1"/>
        <v>0</v>
      </c>
    </row>
    <row r="57" spans="1:12" x14ac:dyDescent="0.2">
      <c r="A57" s="456" t="str">
        <f>IF(CODIGOS!$A56="","",CODIGOS!$A56)</f>
        <v>V000478</v>
      </c>
      <c r="B57" s="443" t="str">
        <f>IF(CODIGOS!$B56="","",CODIGOS!$B56)</f>
        <v>CURRY EN POLVO SB</v>
      </c>
      <c r="C57" s="457" t="str">
        <f>IF(CODIGOS!$E56="","",CODIGOS!$E56)</f>
        <v>KG</v>
      </c>
      <c r="D57" s="452">
        <f>IF($A57="","",SUMIF(LUNES!$B:$B,$A57,LUNES!$D:$D))</f>
        <v>0</v>
      </c>
      <c r="E57" s="449">
        <f>IF($A57="","",SUMIF(MARTES!$B:$B,$A57,MARTES!$D:$D))</f>
        <v>0</v>
      </c>
      <c r="F57" s="449">
        <f>IF($A57="","",SUMIF(MIERCOLES!$B:$B,$A57,MIERCOLES!$D:$D))</f>
        <v>0</v>
      </c>
      <c r="G57" s="449">
        <f>IF($A57="","",SUMIF(JUEVES!$B:$B,$A57,JUEVES!$D:$D))</f>
        <v>0</v>
      </c>
      <c r="H57" s="449">
        <f>IF($A57="","",SUMIF(VIERNES!$B:$B,$A57,VIERNES!$D:$D))</f>
        <v>0</v>
      </c>
      <c r="I57" s="449">
        <f>IF($A57="","",SUMIF(SABADO!$B:$B,$A57,SABADO!$D:$D))</f>
        <v>0.04</v>
      </c>
      <c r="J57" s="459">
        <f>IF($A57="","",SUMIF(DOMINGO!$B:$B,$A57,DOMINGO!$D:$D))</f>
        <v>0</v>
      </c>
      <c r="K57" s="461">
        <f t="shared" si="0"/>
        <v>0.04</v>
      </c>
      <c r="L57" s="462">
        <f t="shared" si="1"/>
        <v>0.16</v>
      </c>
    </row>
    <row r="58" spans="1:12" x14ac:dyDescent="0.2">
      <c r="A58" s="456" t="str">
        <f>IF(CODIGOS!$A57="","",CODIGOS!$A57)</f>
        <v>V000338</v>
      </c>
      <c r="B58" s="443" t="str">
        <f>IF(CODIGOS!$B57="","",CODIGOS!$B57)</f>
        <v>DIENTE DE DRAGON</v>
      </c>
      <c r="C58" s="457" t="str">
        <f>IF(CODIGOS!$E57="","",CODIGOS!$E57)</f>
        <v>PQ 500 gr</v>
      </c>
      <c r="D58" s="452">
        <f>IF($A58="","",SUMIF(LUNES!$B:$B,$A58,LUNES!$D:$D))</f>
        <v>0</v>
      </c>
      <c r="E58" s="449">
        <f>IF($A58="","",SUMIF(MARTES!$B:$B,$A58,MARTES!$D:$D))</f>
        <v>0</v>
      </c>
      <c r="F58" s="449">
        <f>IF($A58="","",SUMIF(MIERCOLES!$B:$B,$A58,MIERCOLES!$D:$D))</f>
        <v>1.2</v>
      </c>
      <c r="G58" s="449">
        <f>IF($A58="","",SUMIF(JUEVES!$B:$B,$A58,JUEVES!$D:$D))</f>
        <v>0</v>
      </c>
      <c r="H58" s="449">
        <f>IF($A58="","",SUMIF(VIERNES!$B:$B,$A58,VIERNES!$D:$D))</f>
        <v>0</v>
      </c>
      <c r="I58" s="449">
        <f>IF($A58="","",SUMIF(SABADO!$B:$B,$A58,SABADO!$D:$D))</f>
        <v>0</v>
      </c>
      <c r="J58" s="459">
        <f>IF($A58="","",SUMIF(DOMINGO!$B:$B,$A58,DOMINGO!$D:$D))</f>
        <v>0</v>
      </c>
      <c r="K58" s="461">
        <f t="shared" si="0"/>
        <v>1.2</v>
      </c>
      <c r="L58" s="462">
        <f t="shared" si="1"/>
        <v>4.8</v>
      </c>
    </row>
    <row r="59" spans="1:12" x14ac:dyDescent="0.2">
      <c r="A59" s="456" t="str">
        <f>IF(CODIGOS!$A58="","",CODIGOS!$A58)</f>
        <v>V000115</v>
      </c>
      <c r="B59" s="443" t="str">
        <f>IF(CODIGOS!$B58="","",CODIGOS!$B58)</f>
        <v>DURAZNO NATURAL</v>
      </c>
      <c r="C59" s="457" t="str">
        <f>IF(CODIGOS!$E58="","",CODIGOS!$E58)</f>
        <v>KG</v>
      </c>
      <c r="D59" s="452">
        <f>IF($A59="","",SUMIF(LUNES!$B:$B,$A59,LUNES!$D:$D))</f>
        <v>0</v>
      </c>
      <c r="E59" s="449">
        <f>IF($A59="","",SUMIF(MARTES!$B:$B,$A59,MARTES!$D:$D))</f>
        <v>0</v>
      </c>
      <c r="F59" s="449">
        <f>IF($A59="","",SUMIF(MIERCOLES!$B:$B,$A59,MIERCOLES!$D:$D))</f>
        <v>0</v>
      </c>
      <c r="G59" s="449">
        <f>IF($A59="","",SUMIF(JUEVES!$B:$B,$A59,JUEVES!$D:$D))</f>
        <v>0</v>
      </c>
      <c r="H59" s="449">
        <f>IF($A59="","",SUMIF(VIERNES!$B:$B,$A59,VIERNES!$D:$D))</f>
        <v>0</v>
      </c>
      <c r="I59" s="449">
        <f>IF($A59="","",SUMIF(SABADO!$B:$B,$A59,SABADO!$D:$D))</f>
        <v>0</v>
      </c>
      <c r="J59" s="459">
        <f>IF($A59="","",SUMIF(DOMINGO!$B:$B,$A59,DOMINGO!$D:$D))</f>
        <v>0</v>
      </c>
      <c r="K59" s="461">
        <f t="shared" si="0"/>
        <v>0</v>
      </c>
      <c r="L59" s="462">
        <f t="shared" si="1"/>
        <v>0</v>
      </c>
    </row>
    <row r="60" spans="1:12" x14ac:dyDescent="0.2">
      <c r="A60" s="456" t="str">
        <f>IF(CODIGOS!$A59="","",CODIGOS!$A59)</f>
        <v>C903235</v>
      </c>
      <c r="B60" s="443" t="str">
        <f>IF(CODIGOS!$B59="","",CODIGOS!$B59)</f>
        <v>DURAZNOS EN CONSERVA, GL</v>
      </c>
      <c r="C60" s="457" t="str">
        <f>IF(CODIGOS!$E59="","",CODIGOS!$E59)</f>
        <v>GL 3 KG</v>
      </c>
      <c r="D60" s="452">
        <f>IF($A60="","",SUMIF(LUNES!$B:$B,$A60,LUNES!$D:$D))</f>
        <v>0</v>
      </c>
      <c r="E60" s="449">
        <f>IF($A60="","",SUMIF(MARTES!$B:$B,$A60,MARTES!$D:$D))</f>
        <v>0</v>
      </c>
      <c r="F60" s="449">
        <f>IF($A60="","",SUMIF(MIERCOLES!$B:$B,$A60,MIERCOLES!$D:$D))</f>
        <v>0</v>
      </c>
      <c r="G60" s="449">
        <f>IF($A60="","",SUMIF(JUEVES!$B:$B,$A60,JUEVES!$D:$D))</f>
        <v>0</v>
      </c>
      <c r="H60" s="449">
        <f>IF($A60="","",SUMIF(VIERNES!$B:$B,$A60,VIERNES!$D:$D))</f>
        <v>0</v>
      </c>
      <c r="I60" s="449">
        <f>IF($A60="","",SUMIF(SABADO!$B:$B,$A60,SABADO!$D:$D))</f>
        <v>0</v>
      </c>
      <c r="J60" s="459">
        <f>IF($A60="","",SUMIF(DOMINGO!$B:$B,$A60,DOMINGO!$D:$D))</f>
        <v>0</v>
      </c>
      <c r="K60" s="461">
        <f t="shared" si="0"/>
        <v>0</v>
      </c>
      <c r="L60" s="462">
        <f t="shared" si="1"/>
        <v>0</v>
      </c>
    </row>
    <row r="61" spans="1:12" x14ac:dyDescent="0.2">
      <c r="A61" s="456" t="str">
        <f>IF(CODIGOS!$A60="","",CODIGOS!$A60)</f>
        <v>C902638</v>
      </c>
      <c r="B61" s="443" t="str">
        <f>IF(CODIGOS!$B60="","",CODIGOS!$B60)</f>
        <v>ENDULZANTE LIQUIDO STEVIA, 270ML</v>
      </c>
      <c r="C61" s="457" t="str">
        <f>IF(CODIGOS!$E60="","",CODIGOS!$E60)</f>
        <v>EA</v>
      </c>
      <c r="D61" s="452">
        <f>IF($A61="","",SUMIF(LUNES!$B:$B,$A61,LUNES!$D:$D))</f>
        <v>0</v>
      </c>
      <c r="E61" s="449">
        <f>IF($A61="","",SUMIF(MARTES!$B:$B,$A61,MARTES!$D:$D))</f>
        <v>0</v>
      </c>
      <c r="F61" s="449">
        <f>IF($A61="","",SUMIF(MIERCOLES!$B:$B,$A61,MIERCOLES!$D:$D))</f>
        <v>0</v>
      </c>
      <c r="G61" s="449">
        <f>IF($A61="","",SUMIF(JUEVES!$B:$B,$A61,JUEVES!$D:$D))</f>
        <v>0</v>
      </c>
      <c r="H61" s="449">
        <f>IF($A61="","",SUMIF(VIERNES!$B:$B,$A61,VIERNES!$D:$D))</f>
        <v>0</v>
      </c>
      <c r="I61" s="449">
        <f>IF($A61="","",SUMIF(SABADO!$B:$B,$A61,SABADO!$D:$D))</f>
        <v>0</v>
      </c>
      <c r="J61" s="459">
        <f>IF($A61="","",SUMIF(DOMINGO!$B:$B,$A61,DOMINGO!$D:$D))</f>
        <v>0</v>
      </c>
      <c r="K61" s="461">
        <f t="shared" si="0"/>
        <v>0</v>
      </c>
      <c r="L61" s="462">
        <f t="shared" si="1"/>
        <v>0</v>
      </c>
    </row>
    <row r="62" spans="1:12" x14ac:dyDescent="0.2">
      <c r="A62" s="456" t="str">
        <f>IF(CODIGOS!$A61="","",CODIGOS!$A61)</f>
        <v>V000479</v>
      </c>
      <c r="B62" s="443" t="str">
        <f>IF(CODIGOS!$B61="","",CODIGOS!$B61)</f>
        <v>ENELDO</v>
      </c>
      <c r="C62" s="457" t="str">
        <f>IF(CODIGOS!$E61="","",CODIGOS!$E61)</f>
        <v>SB 8 g</v>
      </c>
      <c r="D62" s="452">
        <f>IF($A62="","",SUMIF(LUNES!$B:$B,$A62,LUNES!$D:$D))</f>
        <v>0</v>
      </c>
      <c r="E62" s="449">
        <f>IF($A62="","",SUMIF(MARTES!$B:$B,$A62,MARTES!$D:$D))</f>
        <v>0</v>
      </c>
      <c r="F62" s="449">
        <f>IF($A62="","",SUMIF(MIERCOLES!$B:$B,$A62,MIERCOLES!$D:$D))</f>
        <v>0</v>
      </c>
      <c r="G62" s="449">
        <f>IF($A62="","",SUMIF(JUEVES!$B:$B,$A62,JUEVES!$D:$D))</f>
        <v>0</v>
      </c>
      <c r="H62" s="449">
        <f>IF($A62="","",SUMIF(VIERNES!$B:$B,$A62,VIERNES!$D:$D))</f>
        <v>0</v>
      </c>
      <c r="I62" s="449">
        <f>IF($A62="","",SUMIF(SABADO!$B:$B,$A62,SABADO!$D:$D))</f>
        <v>0</v>
      </c>
      <c r="J62" s="459">
        <f>IF($A62="","",SUMIF(DOMINGO!$B:$B,$A62,DOMINGO!$D:$D))</f>
        <v>0</v>
      </c>
      <c r="K62" s="461">
        <f t="shared" si="0"/>
        <v>0</v>
      </c>
      <c r="L62" s="462">
        <f t="shared" si="1"/>
        <v>0</v>
      </c>
    </row>
    <row r="63" spans="1:12" x14ac:dyDescent="0.2">
      <c r="A63" s="456" t="str">
        <f>IF(CODIGOS!$A62="","",CODIGOS!$A62)</f>
        <v>V000123</v>
      </c>
      <c r="B63" s="443" t="str">
        <f>IF(CODIGOS!$B62="","",CODIGOS!$B62)</f>
        <v>ESPINACAS NATURALES</v>
      </c>
      <c r="C63" s="457" t="str">
        <f>IF(CODIGOS!$E62="","",CODIGOS!$E62)</f>
        <v>AT</v>
      </c>
      <c r="D63" s="452">
        <f>IF($A63="","",SUMIF(LUNES!$B:$B,$A63,LUNES!$D:$D))</f>
        <v>0</v>
      </c>
      <c r="E63" s="449">
        <f>IF($A63="","",SUMIF(MARTES!$B:$B,$A63,MARTES!$D:$D))</f>
        <v>0</v>
      </c>
      <c r="F63" s="449">
        <f>IF($A63="","",SUMIF(MIERCOLES!$B:$B,$A63,MIERCOLES!$D:$D))</f>
        <v>0</v>
      </c>
      <c r="G63" s="449">
        <f>IF($A63="","",SUMIF(JUEVES!$B:$B,$A63,JUEVES!$D:$D))</f>
        <v>0</v>
      </c>
      <c r="H63" s="449">
        <f>IF($A63="","",SUMIF(VIERNES!$B:$B,$A63,VIERNES!$D:$D))</f>
        <v>0</v>
      </c>
      <c r="I63" s="449">
        <f>IF($A63="","",SUMIF(SABADO!$B:$B,$A63,SABADO!$D:$D))</f>
        <v>0</v>
      </c>
      <c r="J63" s="459">
        <f>IF($A63="","",SUMIF(DOMINGO!$B:$B,$A63,DOMINGO!$D:$D))</f>
        <v>0</v>
      </c>
      <c r="K63" s="461">
        <f t="shared" si="0"/>
        <v>0</v>
      </c>
      <c r="L63" s="462">
        <f t="shared" si="1"/>
        <v>0</v>
      </c>
    </row>
    <row r="64" spans="1:12" x14ac:dyDescent="0.2">
      <c r="A64" s="456" t="str">
        <f>IF(CODIGOS!$A63="","",CODIGOS!$A63)</f>
        <v>V000506</v>
      </c>
      <c r="B64" s="443" t="str">
        <f>IF(CODIGOS!$B63="","",CODIGOS!$B63)</f>
        <v>ESTRAGÓN</v>
      </c>
      <c r="C64" s="457" t="str">
        <f>IF(CODIGOS!$E63="","",CODIGOS!$E63)</f>
        <v>SB (5 g)</v>
      </c>
      <c r="D64" s="452">
        <f>IF($A64="","",SUMIF(LUNES!$B:$B,$A64,LUNES!$D:$D))</f>
        <v>0</v>
      </c>
      <c r="E64" s="449">
        <f>IF($A64="","",SUMIF(MARTES!$B:$B,$A64,MARTES!$D:$D))</f>
        <v>0</v>
      </c>
      <c r="F64" s="449">
        <f>IF($A64="","",SUMIF(MIERCOLES!$B:$B,$A64,MIERCOLES!$D:$D))</f>
        <v>0</v>
      </c>
      <c r="G64" s="449">
        <f>IF($A64="","",SUMIF(JUEVES!$B:$B,$A64,JUEVES!$D:$D))</f>
        <v>0</v>
      </c>
      <c r="H64" s="449">
        <f>IF($A64="","",SUMIF(VIERNES!$B:$B,$A64,VIERNES!$D:$D))</f>
        <v>0</v>
      </c>
      <c r="I64" s="449">
        <f>IF($A64="","",SUMIF(SABADO!$B:$B,$A64,SABADO!$D:$D))</f>
        <v>0</v>
      </c>
      <c r="J64" s="459">
        <f>IF($A64="","",SUMIF(DOMINGO!$B:$B,$A64,DOMINGO!$D:$D))</f>
        <v>0</v>
      </c>
      <c r="K64" s="461">
        <f t="shared" si="0"/>
        <v>0</v>
      </c>
      <c r="L64" s="462">
        <f t="shared" si="1"/>
        <v>0</v>
      </c>
    </row>
    <row r="65" spans="1:12" x14ac:dyDescent="0.2">
      <c r="A65" s="456" t="str">
        <f>IF(CODIGOS!$A64="","",CODIGOS!$A64)</f>
        <v>C000359</v>
      </c>
      <c r="B65" s="443" t="str">
        <f>IF(CODIGOS!$B64="","",CODIGOS!$B64)</f>
        <v>FIDEOS CORBATITAS</v>
      </c>
      <c r="C65" s="457" t="str">
        <f>IF(CODIGOS!$E64="","",CODIGOS!$E64)</f>
        <v>KG</v>
      </c>
      <c r="D65" s="452">
        <f>IF($A65="","",SUMIF(LUNES!$B:$B,$A65,LUNES!$D:$D))</f>
        <v>0</v>
      </c>
      <c r="E65" s="449">
        <f>IF($A65="","",SUMIF(MARTES!$B:$B,$A65,MARTES!$D:$D))</f>
        <v>0</v>
      </c>
      <c r="F65" s="449">
        <f>IF($A65="","",SUMIF(MIERCOLES!$B:$B,$A65,MIERCOLES!$D:$D))</f>
        <v>0</v>
      </c>
      <c r="G65" s="449">
        <f>IF($A65="","",SUMIF(JUEVES!$B:$B,$A65,JUEVES!$D:$D))</f>
        <v>0</v>
      </c>
      <c r="H65" s="449">
        <f>IF($A65="","",SUMIF(VIERNES!$B:$B,$A65,VIERNES!$D:$D))</f>
        <v>0</v>
      </c>
      <c r="I65" s="449">
        <f>IF($A65="","",SUMIF(SABADO!$B:$B,$A65,SABADO!$D:$D))</f>
        <v>0</v>
      </c>
      <c r="J65" s="459">
        <f>IF($A65="","",SUMIF(DOMINGO!$B:$B,$A65,DOMINGO!$D:$D))</f>
        <v>0</v>
      </c>
      <c r="K65" s="461">
        <f t="shared" si="0"/>
        <v>0</v>
      </c>
      <c r="L65" s="462">
        <f t="shared" si="1"/>
        <v>0</v>
      </c>
    </row>
    <row r="66" spans="1:12" x14ac:dyDescent="0.2">
      <c r="A66" s="456" t="str">
        <f>IF(CODIGOS!$A65="","",CODIGOS!$A65)</f>
        <v>V001132</v>
      </c>
      <c r="B66" s="443" t="str">
        <f>IF(CODIGOS!$B65="","",CODIGOS!$B65)</f>
        <v>FIDEOS CABELLOS DE ANGEL</v>
      </c>
      <c r="C66" s="457" t="str">
        <f>IF(CODIGOS!$E65="","",CODIGOS!$E65)</f>
        <v>400 G</v>
      </c>
      <c r="D66" s="452">
        <f>IF($A66="","",SUMIF(LUNES!$B:$B,$A66,LUNES!$D:$D))</f>
        <v>0</v>
      </c>
      <c r="E66" s="449">
        <f>IF($A66="","",SUMIF(MARTES!$B:$B,$A66,MARTES!$D:$D))</f>
        <v>0</v>
      </c>
      <c r="F66" s="449">
        <f>IF($A66="","",SUMIF(MIERCOLES!$B:$B,$A66,MIERCOLES!$D:$D))</f>
        <v>0</v>
      </c>
      <c r="G66" s="449">
        <f>IF($A66="","",SUMIF(JUEVES!$B:$B,$A66,JUEVES!$D:$D))</f>
        <v>0</v>
      </c>
      <c r="H66" s="449">
        <f>IF($A66="","",SUMIF(VIERNES!$B:$B,$A66,VIERNES!$D:$D))</f>
        <v>0</v>
      </c>
      <c r="I66" s="449">
        <f>IF($A66="","",SUMIF(SABADO!$B:$B,$A66,SABADO!$D:$D))</f>
        <v>0</v>
      </c>
      <c r="J66" s="459">
        <f>IF($A66="","",SUMIF(DOMINGO!$B:$B,$A66,DOMINGO!$D:$D))</f>
        <v>0</v>
      </c>
      <c r="K66" s="461">
        <f t="shared" si="0"/>
        <v>0</v>
      </c>
      <c r="L66" s="462">
        <f t="shared" si="1"/>
        <v>0</v>
      </c>
    </row>
    <row r="67" spans="1:12" x14ac:dyDescent="0.2">
      <c r="A67" s="456" t="str">
        <f>IF(CODIGOS!$A66="","",CODIGOS!$A66)</f>
        <v>C006637</v>
      </c>
      <c r="B67" s="443" t="str">
        <f>IF(CODIGOS!$B66="","",CODIGOS!$B66)</f>
        <v>FIDEOS ESPIRALES</v>
      </c>
      <c r="C67" s="457" t="str">
        <f>IF(CODIGOS!$E66="","",CODIGOS!$E66)</f>
        <v>KG</v>
      </c>
      <c r="D67" s="452">
        <f>IF($A67="","",SUMIF(LUNES!$B:$B,$A67,LUNES!$D:$D))</f>
        <v>6.4</v>
      </c>
      <c r="E67" s="449">
        <f>IF($A67="","",SUMIF(MARTES!$B:$B,$A67,MARTES!$D:$D))</f>
        <v>0</v>
      </c>
      <c r="F67" s="449">
        <f>IF($A67="","",SUMIF(MIERCOLES!$B:$B,$A67,MIERCOLES!$D:$D))</f>
        <v>0</v>
      </c>
      <c r="G67" s="449">
        <f>IF($A67="","",SUMIF(JUEVES!$B:$B,$A67,JUEVES!$D:$D))</f>
        <v>0</v>
      </c>
      <c r="H67" s="449">
        <f>IF($A67="","",SUMIF(VIERNES!$B:$B,$A67,VIERNES!$D:$D))</f>
        <v>0</v>
      </c>
      <c r="I67" s="449">
        <f>IF($A67="","",SUMIF(SABADO!$B:$B,$A67,SABADO!$D:$D))</f>
        <v>0</v>
      </c>
      <c r="J67" s="459">
        <f>IF($A67="","",SUMIF(DOMINGO!$B:$B,$A67,DOMINGO!$D:$D))</f>
        <v>0</v>
      </c>
      <c r="K67" s="461">
        <f t="shared" si="0"/>
        <v>6.4</v>
      </c>
      <c r="L67" s="462">
        <f t="shared" si="1"/>
        <v>25.6</v>
      </c>
    </row>
    <row r="68" spans="1:12" x14ac:dyDescent="0.2">
      <c r="A68" s="456" t="str">
        <f>IF(CODIGOS!$A67="","",CODIGOS!$A67)</f>
        <v>C000342</v>
      </c>
      <c r="B68" s="443" t="str">
        <f>IF(CODIGOS!$B67="","",CODIGOS!$B67)</f>
        <v>FIDEOS MOSTACHOLIS</v>
      </c>
      <c r="C68" s="457" t="str">
        <f>IF(CODIGOS!$E67="","",CODIGOS!$E67)</f>
        <v>KG</v>
      </c>
      <c r="D68" s="452">
        <f>IF($A68="","",SUMIF(LUNES!$B:$B,$A68,LUNES!$D:$D))</f>
        <v>0</v>
      </c>
      <c r="E68" s="449">
        <f>IF($A68="","",SUMIF(MARTES!$B:$B,$A68,MARTES!$D:$D))</f>
        <v>0</v>
      </c>
      <c r="F68" s="449">
        <f>IF($A68="","",SUMIF(MIERCOLES!$B:$B,$A68,MIERCOLES!$D:$D))</f>
        <v>0</v>
      </c>
      <c r="G68" s="449">
        <f>IF($A68="","",SUMIF(JUEVES!$B:$B,$A68,JUEVES!$D:$D))</f>
        <v>0</v>
      </c>
      <c r="H68" s="449">
        <f>IF($A68="","",SUMIF(VIERNES!$B:$B,$A68,VIERNES!$D:$D))</f>
        <v>16</v>
      </c>
      <c r="I68" s="449">
        <f>IF($A68="","",SUMIF(SABADO!$B:$B,$A68,SABADO!$D:$D))</f>
        <v>0</v>
      </c>
      <c r="J68" s="459">
        <f>IF($A68="","",SUMIF(DOMINGO!$B:$B,$A68,DOMINGO!$D:$D))</f>
        <v>0</v>
      </c>
      <c r="K68" s="461">
        <f t="shared" si="0"/>
        <v>16</v>
      </c>
      <c r="L68" s="462">
        <f t="shared" si="1"/>
        <v>64</v>
      </c>
    </row>
    <row r="69" spans="1:12" x14ac:dyDescent="0.2">
      <c r="A69" s="456" t="str">
        <f>IF(CODIGOS!$A68="","",CODIGOS!$A68)</f>
        <v>C000361</v>
      </c>
      <c r="B69" s="443" t="str">
        <f>IF(CODIGOS!$B68="","",CODIGOS!$B68)</f>
        <v>FIDEOS TALLARINES</v>
      </c>
      <c r="C69" s="457" t="str">
        <f>IF(CODIGOS!$E68="","",CODIGOS!$E68)</f>
        <v>KG</v>
      </c>
      <c r="D69" s="452">
        <f>IF($A69="","",SUMIF(LUNES!$B:$B,$A69,LUNES!$D:$D))</f>
        <v>0</v>
      </c>
      <c r="E69" s="449">
        <f>IF($A69="","",SUMIF(MARTES!$B:$B,$A69,MARTES!$D:$D))</f>
        <v>4</v>
      </c>
      <c r="F69" s="449">
        <f>IF($A69="","",SUMIF(MIERCOLES!$B:$B,$A69,MIERCOLES!$D:$D))</f>
        <v>0</v>
      </c>
      <c r="G69" s="449">
        <f>IF($A69="","",SUMIF(JUEVES!$B:$B,$A69,JUEVES!$D:$D))</f>
        <v>0</v>
      </c>
      <c r="H69" s="449">
        <f>IF($A69="","",SUMIF(VIERNES!$B:$B,$A69,VIERNES!$D:$D))</f>
        <v>0</v>
      </c>
      <c r="I69" s="449">
        <f>IF($A69="","",SUMIF(SABADO!$B:$B,$A69,SABADO!$D:$D))</f>
        <v>0</v>
      </c>
      <c r="J69" s="459">
        <f>IF($A69="","",SUMIF(DOMINGO!$B:$B,$A69,DOMINGO!$D:$D))</f>
        <v>0</v>
      </c>
      <c r="K69" s="461">
        <f t="shared" ref="K69:K132" si="2">IF($A69="","",SUM($D69:$J69))</f>
        <v>4</v>
      </c>
      <c r="L69" s="462">
        <f t="shared" ref="L69:L132" si="3">IF(K69="","",K69*4)</f>
        <v>16</v>
      </c>
    </row>
    <row r="70" spans="1:12" x14ac:dyDescent="0.2">
      <c r="A70" s="456" t="str">
        <f>IF(CODIGOS!$A69="","",CODIGOS!$A69)</f>
        <v xml:space="preserve">  C903499</v>
      </c>
      <c r="B70" s="443" t="str">
        <f>IF(CODIGOS!$B69="","",CODIGOS!$B69)</f>
        <v>FIDEOS INTEGRALES</v>
      </c>
      <c r="C70" s="457" t="str">
        <f>IF(CODIGOS!$E69="","",CODIGOS!$E69)</f>
        <v>KG</v>
      </c>
      <c r="D70" s="452">
        <f>IF($A70="","",SUMIF(LUNES!$B:$B,$A70,LUNES!$D:$D))</f>
        <v>0</v>
      </c>
      <c r="E70" s="449">
        <f>IF($A70="","",SUMIF(MARTES!$B:$B,$A70,MARTES!$D:$D))</f>
        <v>0</v>
      </c>
      <c r="F70" s="449">
        <f>IF($A70="","",SUMIF(MIERCOLES!$B:$B,$A70,MIERCOLES!$D:$D))</f>
        <v>0</v>
      </c>
      <c r="G70" s="449">
        <f>IF($A70="","",SUMIF(JUEVES!$B:$B,$A70,JUEVES!$D:$D))</f>
        <v>0</v>
      </c>
      <c r="H70" s="449">
        <f>IF($A70="","",SUMIF(VIERNES!$B:$B,$A70,VIERNES!$D:$D))</f>
        <v>0</v>
      </c>
      <c r="I70" s="449">
        <f>IF($A70="","",SUMIF(SABADO!$B:$B,$A70,SABADO!$D:$D))</f>
        <v>0</v>
      </c>
      <c r="J70" s="459">
        <f>IF($A70="","",SUMIF(DOMINGO!$B:$B,$A70,DOMINGO!$D:$D))</f>
        <v>6.4</v>
      </c>
      <c r="K70" s="461">
        <f t="shared" si="2"/>
        <v>6.4</v>
      </c>
      <c r="L70" s="462">
        <f t="shared" si="3"/>
        <v>25.6</v>
      </c>
    </row>
    <row r="71" spans="1:12" x14ac:dyDescent="0.2">
      <c r="A71" s="456" t="str">
        <f>IF(CODIGOS!$A70="","",CODIGOS!$A70)</f>
        <v>C902850</v>
      </c>
      <c r="B71" s="443" t="str">
        <f>IF(CODIGOS!$B70="","",CODIGOS!$B70)</f>
        <v>FLAN DE LUCUMA</v>
      </c>
      <c r="C71" s="457" t="str">
        <f>IF(CODIGOS!$E70="","",CODIGOS!$E70)</f>
        <v>KG</v>
      </c>
      <c r="D71" s="452">
        <f>IF($A71="","",SUMIF(LUNES!$B:$B,$A71,LUNES!$D:$D))</f>
        <v>0</v>
      </c>
      <c r="E71" s="449">
        <f>IF($A71="","",SUMIF(MARTES!$B:$B,$A71,MARTES!$D:$D))</f>
        <v>0</v>
      </c>
      <c r="F71" s="449">
        <f>IF($A71="","",SUMIF(MIERCOLES!$B:$B,$A71,MIERCOLES!$D:$D))</f>
        <v>0</v>
      </c>
      <c r="G71" s="449">
        <f>IF($A71="","",SUMIF(JUEVES!$B:$B,$A71,JUEVES!$D:$D))</f>
        <v>0</v>
      </c>
      <c r="H71" s="449">
        <f>IF($A71="","",SUMIF(VIERNES!$B:$B,$A71,VIERNES!$D:$D))</f>
        <v>0</v>
      </c>
      <c r="I71" s="449">
        <f>IF($A71="","",SUMIF(SABADO!$B:$B,$A71,SABADO!$D:$D))</f>
        <v>0</v>
      </c>
      <c r="J71" s="459">
        <f>IF($A71="","",SUMIF(DOMINGO!$B:$B,$A71,DOMINGO!$D:$D))</f>
        <v>0</v>
      </c>
      <c r="K71" s="461">
        <f t="shared" si="2"/>
        <v>0</v>
      </c>
      <c r="L71" s="462">
        <f t="shared" si="3"/>
        <v>0</v>
      </c>
    </row>
    <row r="72" spans="1:12" x14ac:dyDescent="0.2">
      <c r="A72" s="456" t="str">
        <f>IF(CODIGOS!$A71="","",CODIGOS!$A71)</f>
        <v>C902851</v>
      </c>
      <c r="B72" s="443" t="str">
        <f>IF(CODIGOS!$B71="","",CODIGOS!$B71)</f>
        <v>FLAN DE VAINILLA</v>
      </c>
      <c r="C72" s="457" t="str">
        <f>IF(CODIGOS!$E71="","",CODIGOS!$E71)</f>
        <v>KG</v>
      </c>
      <c r="D72" s="452">
        <f>IF($A72="","",SUMIF(LUNES!$B:$B,$A72,LUNES!$D:$D))</f>
        <v>0</v>
      </c>
      <c r="E72" s="449">
        <f>IF($A72="","",SUMIF(MARTES!$B:$B,$A72,MARTES!$D:$D))</f>
        <v>4</v>
      </c>
      <c r="F72" s="449">
        <f>IF($A72="","",SUMIF(MIERCOLES!$B:$B,$A72,MIERCOLES!$D:$D))</f>
        <v>0</v>
      </c>
      <c r="G72" s="449">
        <f>IF($A72="","",SUMIF(JUEVES!$B:$B,$A72,JUEVES!$D:$D))</f>
        <v>0</v>
      </c>
      <c r="H72" s="449">
        <f>IF($A72="","",SUMIF(VIERNES!$B:$B,$A72,VIERNES!$D:$D))</f>
        <v>1.6</v>
      </c>
      <c r="I72" s="449">
        <f>IF($A72="","",SUMIF(SABADO!$B:$B,$A72,SABADO!$D:$D))</f>
        <v>0</v>
      </c>
      <c r="J72" s="459">
        <f>IF($A72="","",SUMIF(DOMINGO!$B:$B,$A72,DOMINGO!$D:$D))</f>
        <v>1.6</v>
      </c>
      <c r="K72" s="461">
        <f t="shared" si="2"/>
        <v>7.1999999999999993</v>
      </c>
      <c r="L72" s="462">
        <f t="shared" si="3"/>
        <v>28.799999999999997</v>
      </c>
    </row>
    <row r="73" spans="1:12" x14ac:dyDescent="0.2">
      <c r="A73" s="456" t="str">
        <f>IF(CODIGOS!$A72="","",CODIGOS!$A72)</f>
        <v>C903238</v>
      </c>
      <c r="B73" s="443" t="str">
        <f>IF(CODIGOS!$B72="","",CODIGOS!$B72)</f>
        <v>FONDOS DE ALCACHOFA, GL</v>
      </c>
      <c r="C73" s="457" t="str">
        <f>IF(CODIGOS!$E72="","",CODIGOS!$E72)</f>
        <v>GL 3 KG</v>
      </c>
      <c r="D73" s="452">
        <f>IF($A73="","",SUMIF(LUNES!$B:$B,$A73,LUNES!$D:$D))</f>
        <v>0</v>
      </c>
      <c r="E73" s="449">
        <f>IF($A73="","",SUMIF(MARTES!$B:$B,$A73,MARTES!$D:$D))</f>
        <v>0</v>
      </c>
      <c r="F73" s="449">
        <f>IF($A73="","",SUMIF(MIERCOLES!$B:$B,$A73,MIERCOLES!$D:$D))</f>
        <v>0</v>
      </c>
      <c r="G73" s="449">
        <f>IF($A73="","",SUMIF(JUEVES!$B:$B,$A73,JUEVES!$D:$D))</f>
        <v>0</v>
      </c>
      <c r="H73" s="449">
        <f>IF($A73="","",SUMIF(VIERNES!$B:$B,$A73,VIERNES!$D:$D))</f>
        <v>0</v>
      </c>
      <c r="I73" s="449">
        <f>IF($A73="","",SUMIF(SABADO!$B:$B,$A73,SABADO!$D:$D))</f>
        <v>0</v>
      </c>
      <c r="J73" s="459">
        <f>IF($A73="","",SUMIF(DOMINGO!$B:$B,$A73,DOMINGO!$D:$D))</f>
        <v>0</v>
      </c>
      <c r="K73" s="461">
        <f t="shared" si="2"/>
        <v>0</v>
      </c>
      <c r="L73" s="462">
        <f t="shared" si="3"/>
        <v>0</v>
      </c>
    </row>
    <row r="74" spans="1:12" x14ac:dyDescent="0.2">
      <c r="A74" s="456" t="str">
        <f>IF(CODIGOS!$A73="","",CODIGOS!$A73)</f>
        <v>C902849</v>
      </c>
      <c r="B74" s="443" t="str">
        <f>IF(CODIGOS!$B73="","",CODIGOS!$B73)</f>
        <v>FLAN C/LECHE S/CHOCOLATE</v>
      </c>
      <c r="C74" s="457" t="str">
        <f>IF(CODIGOS!$E73="","",CODIGOS!$E73)</f>
        <v>KG</v>
      </c>
      <c r="D74" s="452">
        <f>IF($A74="","",SUMIF(LUNES!$B:$B,$A74,LUNES!$D:$D))</f>
        <v>0</v>
      </c>
      <c r="E74" s="449">
        <f>IF($A74="","",SUMIF(MARTES!$B:$B,$A74,MARTES!$D:$D))</f>
        <v>0</v>
      </c>
      <c r="F74" s="449">
        <f>IF($A74="","",SUMIF(MIERCOLES!$B:$B,$A74,MIERCOLES!$D:$D))</f>
        <v>1.6</v>
      </c>
      <c r="G74" s="449">
        <f>IF($A74="","",SUMIF(JUEVES!$B:$B,$A74,JUEVES!$D:$D))</f>
        <v>0</v>
      </c>
      <c r="H74" s="449">
        <f>IF($A74="","",SUMIF(VIERNES!$B:$B,$A74,VIERNES!$D:$D))</f>
        <v>0</v>
      </c>
      <c r="I74" s="449">
        <f>IF($A74="","",SUMIF(SABADO!$B:$B,$A74,SABADO!$D:$D))</f>
        <v>1.6</v>
      </c>
      <c r="J74" s="459">
        <f>IF($A74="","",SUMIF(DOMINGO!$B:$B,$A74,DOMINGO!$D:$D))</f>
        <v>0</v>
      </c>
      <c r="K74" s="461">
        <f t="shared" si="2"/>
        <v>3.2</v>
      </c>
      <c r="L74" s="462">
        <f t="shared" si="3"/>
        <v>12.8</v>
      </c>
    </row>
    <row r="75" spans="1:12" x14ac:dyDescent="0.2">
      <c r="A75" s="456" t="str">
        <f>IF(CODIGOS!$A74="","",CODIGOS!$A74)</f>
        <v>C000196</v>
      </c>
      <c r="B75" s="443" t="str">
        <f>IF(CODIGOS!$B74="","",CODIGOS!$B74)</f>
        <v>FREJOLES</v>
      </c>
      <c r="C75" s="457" t="str">
        <f>IF(CODIGOS!$E74="","",CODIGOS!$E74)</f>
        <v>KG</v>
      </c>
      <c r="D75" s="452">
        <f>IF($A75="","",SUMIF(LUNES!$B:$B,$A75,LUNES!$D:$D))</f>
        <v>0</v>
      </c>
      <c r="E75" s="449">
        <f>IF($A75="","",SUMIF(MARTES!$B:$B,$A75,MARTES!$D:$D))</f>
        <v>16</v>
      </c>
      <c r="F75" s="449">
        <f>IF($A75="","",SUMIF(MIERCOLES!$B:$B,$A75,MIERCOLES!$D:$D))</f>
        <v>0</v>
      </c>
      <c r="G75" s="449">
        <f>IF($A75="","",SUMIF(JUEVES!$B:$B,$A75,JUEVES!$D:$D))</f>
        <v>0</v>
      </c>
      <c r="H75" s="449">
        <f>IF($A75="","",SUMIF(VIERNES!$B:$B,$A75,VIERNES!$D:$D))</f>
        <v>0</v>
      </c>
      <c r="I75" s="449">
        <f>IF($A75="","",SUMIF(SABADO!$B:$B,$A75,SABADO!$D:$D))</f>
        <v>0</v>
      </c>
      <c r="J75" s="459">
        <f>IF($A75="","",SUMIF(DOMINGO!$B:$B,$A75,DOMINGO!$D:$D))</f>
        <v>0</v>
      </c>
      <c r="K75" s="461">
        <f t="shared" si="2"/>
        <v>16</v>
      </c>
      <c r="L75" s="462">
        <f t="shared" si="3"/>
        <v>64</v>
      </c>
    </row>
    <row r="76" spans="1:12" x14ac:dyDescent="0.2">
      <c r="A76" s="456" t="str">
        <f>IF(CODIGOS!$A75="","",CODIGOS!$A75)</f>
        <v>V000132</v>
      </c>
      <c r="B76" s="443" t="str">
        <f>IF(CODIGOS!$B75="","",CODIGOS!$B75)</f>
        <v>FRUTILLA NATURAL</v>
      </c>
      <c r="C76" s="457" t="str">
        <f>IF(CODIGOS!$E75="","",CODIGOS!$E75)</f>
        <v>KG</v>
      </c>
      <c r="D76" s="452">
        <f>IF($A76="","",SUMIF(LUNES!$B:$B,$A76,LUNES!$D:$D))</f>
        <v>0</v>
      </c>
      <c r="E76" s="449">
        <f>IF($A76="","",SUMIF(MARTES!$B:$B,$A76,MARTES!$D:$D))</f>
        <v>0</v>
      </c>
      <c r="F76" s="449">
        <f>IF($A76="","",SUMIF(MIERCOLES!$B:$B,$A76,MIERCOLES!$D:$D))</f>
        <v>0</v>
      </c>
      <c r="G76" s="449">
        <f>IF($A76="","",SUMIF(JUEVES!$B:$B,$A76,JUEVES!$D:$D))</f>
        <v>0</v>
      </c>
      <c r="H76" s="449">
        <f>IF($A76="","",SUMIF(VIERNES!$B:$B,$A76,VIERNES!$D:$D))</f>
        <v>0</v>
      </c>
      <c r="I76" s="449">
        <f>IF($A76="","",SUMIF(SABADO!$B:$B,$A76,SABADO!$D:$D))</f>
        <v>0</v>
      </c>
      <c r="J76" s="459">
        <f>IF($A76="","",SUMIF(DOMINGO!$B:$B,$A76,DOMINGO!$D:$D))</f>
        <v>0</v>
      </c>
      <c r="K76" s="461">
        <f t="shared" si="2"/>
        <v>0</v>
      </c>
      <c r="L76" s="462">
        <f t="shared" si="3"/>
        <v>0</v>
      </c>
    </row>
    <row r="77" spans="1:12" x14ac:dyDescent="0.2">
      <c r="A77" s="456" t="str">
        <f>IF(CODIGOS!$A76="","",CODIGOS!$A76)</f>
        <v>C902630</v>
      </c>
      <c r="B77" s="443" t="str">
        <f>IF(CODIGOS!$B76="","",CODIGOS!$B76)</f>
        <v>GARBANZOS</v>
      </c>
      <c r="C77" s="457" t="str">
        <f>IF(CODIGOS!$E76="","",CODIGOS!$E76)</f>
        <v>KG</v>
      </c>
      <c r="D77" s="452">
        <f>IF($A77="","",SUMIF(LUNES!$B:$B,$A77,LUNES!$D:$D))</f>
        <v>0</v>
      </c>
      <c r="E77" s="449">
        <f>IF($A77="","",SUMIF(MARTES!$B:$B,$A77,MARTES!$D:$D))</f>
        <v>0</v>
      </c>
      <c r="F77" s="449">
        <f>IF($A77="","",SUMIF(MIERCOLES!$B:$B,$A77,MIERCOLES!$D:$D))</f>
        <v>0</v>
      </c>
      <c r="G77" s="449">
        <f>IF($A77="","",SUMIF(JUEVES!$B:$B,$A77,JUEVES!$D:$D))</f>
        <v>0</v>
      </c>
      <c r="H77" s="449">
        <f>IF($A77="","",SUMIF(VIERNES!$B:$B,$A77,VIERNES!$D:$D))</f>
        <v>0</v>
      </c>
      <c r="I77" s="449">
        <f>IF($A77="","",SUMIF(SABADO!$B:$B,$A77,SABADO!$D:$D))</f>
        <v>0</v>
      </c>
      <c r="J77" s="459">
        <f>IF($A77="","",SUMIF(DOMINGO!$B:$B,$A77,DOMINGO!$D:$D))</f>
        <v>0</v>
      </c>
      <c r="K77" s="461">
        <f t="shared" si="2"/>
        <v>0</v>
      </c>
      <c r="L77" s="462">
        <f t="shared" si="3"/>
        <v>0</v>
      </c>
    </row>
    <row r="78" spans="1:12" x14ac:dyDescent="0.2">
      <c r="A78" s="456" t="str">
        <f>IF(CODIGOS!$A77="","",CODIGOS!$A77)</f>
        <v>C903241</v>
      </c>
      <c r="B78" s="443" t="str">
        <f>IF(CODIGOS!$B77="","",CODIGOS!$B77)</f>
        <v>GRANOLA 320 GR</v>
      </c>
      <c r="C78" s="457" t="str">
        <f>IF(CODIGOS!$E77="","",CODIGOS!$E77)</f>
        <v>PZ 320 GR</v>
      </c>
      <c r="D78" s="452">
        <f>IF($A78="","",SUMIF(LUNES!$B:$B,$A78,LUNES!$D:$D))</f>
        <v>0</v>
      </c>
      <c r="E78" s="449">
        <f>IF($A78="","",SUMIF(MARTES!$B:$B,$A78,MARTES!$D:$D))</f>
        <v>0</v>
      </c>
      <c r="F78" s="449">
        <f>IF($A78="","",SUMIF(MIERCOLES!$B:$B,$A78,MIERCOLES!$D:$D))</f>
        <v>0</v>
      </c>
      <c r="G78" s="449">
        <f>IF($A78="","",SUMIF(JUEVES!$B:$B,$A78,JUEVES!$D:$D))</f>
        <v>2.56</v>
      </c>
      <c r="H78" s="449">
        <f>IF($A78="","",SUMIF(VIERNES!$B:$B,$A78,VIERNES!$D:$D))</f>
        <v>0</v>
      </c>
      <c r="I78" s="449">
        <f>IF($A78="","",SUMIF(SABADO!$B:$B,$A78,SABADO!$D:$D))</f>
        <v>0</v>
      </c>
      <c r="J78" s="459">
        <f>IF($A78="","",SUMIF(DOMINGO!$B:$B,$A78,DOMINGO!$D:$D))</f>
        <v>0</v>
      </c>
      <c r="K78" s="461">
        <f t="shared" si="2"/>
        <v>2.56</v>
      </c>
      <c r="L78" s="462">
        <f t="shared" si="3"/>
        <v>10.24</v>
      </c>
    </row>
    <row r="79" spans="1:12" x14ac:dyDescent="0.2">
      <c r="A79" s="456" t="str">
        <f>IF(CODIGOS!$A78="","",CODIGOS!$A78)</f>
        <v>C902739</v>
      </c>
      <c r="B79" s="443" t="str">
        <f>IF(CODIGOS!$B78="","",CODIGOS!$B78)</f>
        <v>HABAS CONGELADAS</v>
      </c>
      <c r="C79" s="457" t="str">
        <f>IF(CODIGOS!$E78="","",CODIGOS!$E78)</f>
        <v>KG</v>
      </c>
      <c r="D79" s="452">
        <f>IF($A79="","",SUMIF(LUNES!$B:$B,$A79,LUNES!$D:$D))</f>
        <v>0</v>
      </c>
      <c r="E79" s="449">
        <f>IF($A79="","",SUMIF(MARTES!$B:$B,$A79,MARTES!$D:$D))</f>
        <v>0</v>
      </c>
      <c r="F79" s="449">
        <f>IF($A79="","",SUMIF(MIERCOLES!$B:$B,$A79,MIERCOLES!$D:$D))</f>
        <v>0</v>
      </c>
      <c r="G79" s="449">
        <f>IF($A79="","",SUMIF(JUEVES!$B:$B,$A79,JUEVES!$D:$D))</f>
        <v>0</v>
      </c>
      <c r="H79" s="449">
        <f>IF($A79="","",SUMIF(VIERNES!$B:$B,$A79,VIERNES!$D:$D))</f>
        <v>0</v>
      </c>
      <c r="I79" s="449">
        <f>IF($A79="","",SUMIF(SABADO!$B:$B,$A79,SABADO!$D:$D))</f>
        <v>0</v>
      </c>
      <c r="J79" s="459">
        <f>IF($A79="","",SUMIF(DOMINGO!$B:$B,$A79,DOMINGO!$D:$D))</f>
        <v>0</v>
      </c>
      <c r="K79" s="461">
        <f t="shared" si="2"/>
        <v>0</v>
      </c>
      <c r="L79" s="462">
        <f t="shared" si="3"/>
        <v>0</v>
      </c>
    </row>
    <row r="80" spans="1:12" x14ac:dyDescent="0.2">
      <c r="A80" s="456" t="str">
        <f>IF(CODIGOS!$A79="","",CODIGOS!$A79)</f>
        <v>C000367</v>
      </c>
      <c r="B80" s="443" t="str">
        <f>IF(CODIGOS!$B79="","",CODIGOS!$B79)</f>
        <v>HARINA FLOR</v>
      </c>
      <c r="C80" s="457" t="str">
        <f>IF(CODIGOS!$E79="","",CODIGOS!$E79)</f>
        <v>KG</v>
      </c>
      <c r="D80" s="452">
        <f>IF($A80="","",SUMIF(LUNES!$B:$B,$A80,LUNES!$D:$D))</f>
        <v>11.428800000000001</v>
      </c>
      <c r="E80" s="449">
        <f>IF($A80="","",SUMIF(MARTES!$B:$B,$A80,MARTES!$D:$D))</f>
        <v>11.428800000000001</v>
      </c>
      <c r="F80" s="449">
        <f>IF($A80="","",SUMIF(MIERCOLES!$B:$B,$A80,MIERCOLES!$D:$D))</f>
        <v>11.428800000000001</v>
      </c>
      <c r="G80" s="449">
        <f>IF($A80="","",SUMIF(JUEVES!$B:$B,$A80,JUEVES!$D:$D))</f>
        <v>25.428800000000003</v>
      </c>
      <c r="H80" s="449">
        <f>IF($A80="","",SUMIF(VIERNES!$B:$B,$A80,VIERNES!$D:$D))</f>
        <v>13.428800000000001</v>
      </c>
      <c r="I80" s="449">
        <f>IF($A80="","",SUMIF(SABADO!$B:$B,$A80,SABADO!$D:$D))</f>
        <v>11.428800000000001</v>
      </c>
      <c r="J80" s="459">
        <f>IF($A80="","",SUMIF(DOMINGO!$B:$B,$A80,DOMINGO!$D:$D))</f>
        <v>11.428800000000001</v>
      </c>
      <c r="K80" s="461">
        <f t="shared" si="2"/>
        <v>96.001599999999996</v>
      </c>
      <c r="L80" s="462">
        <f t="shared" si="3"/>
        <v>384.00639999999999</v>
      </c>
    </row>
    <row r="81" spans="1:12" x14ac:dyDescent="0.2">
      <c r="A81" s="456" t="str">
        <f>IF(CODIGOS!$A80="","",CODIGOS!$A80)</f>
        <v>V000147</v>
      </c>
      <c r="B81" s="443" t="str">
        <f>IF(CODIGOS!$B80="","",CODIGOS!$B80)</f>
        <v>HUESILLOS KG</v>
      </c>
      <c r="C81" s="457" t="str">
        <f>IF(CODIGOS!$E80="","",CODIGOS!$E80)</f>
        <v>KG</v>
      </c>
      <c r="D81" s="452">
        <f>IF($A81="","",SUMIF(LUNES!$B:$B,$A81,LUNES!$D:$D))</f>
        <v>0</v>
      </c>
      <c r="E81" s="449">
        <f>IF($A81="","",SUMIF(MARTES!$B:$B,$A81,MARTES!$D:$D))</f>
        <v>0</v>
      </c>
      <c r="F81" s="449">
        <f>IF($A81="","",SUMIF(MIERCOLES!$B:$B,$A81,MIERCOLES!$D:$D))</f>
        <v>0</v>
      </c>
      <c r="G81" s="449">
        <f>IF($A81="","",SUMIF(JUEVES!$B:$B,$A81,JUEVES!$D:$D))</f>
        <v>4</v>
      </c>
      <c r="H81" s="449">
        <f>IF($A81="","",SUMIF(VIERNES!$B:$B,$A81,VIERNES!$D:$D))</f>
        <v>0</v>
      </c>
      <c r="I81" s="449">
        <f>IF($A81="","",SUMIF(SABADO!$B:$B,$A81,SABADO!$D:$D))</f>
        <v>0</v>
      </c>
      <c r="J81" s="459">
        <f>IF($A81="","",SUMIF(DOMINGO!$B:$B,$A81,DOMINGO!$D:$D))</f>
        <v>0</v>
      </c>
      <c r="K81" s="461">
        <f t="shared" si="2"/>
        <v>4</v>
      </c>
      <c r="L81" s="462">
        <f t="shared" si="3"/>
        <v>16</v>
      </c>
    </row>
    <row r="82" spans="1:12" x14ac:dyDescent="0.2">
      <c r="A82" s="456" t="str">
        <f>IF(CODIGOS!$A81="","",CODIGOS!$A81)</f>
        <v>V000148</v>
      </c>
      <c r="B82" s="443" t="str">
        <f>IF(CODIGOS!$B81="","",CODIGOS!$B81)</f>
        <v>HUEVOS</v>
      </c>
      <c r="C82" s="457" t="str">
        <f>IF(CODIGOS!$E81="","",CODIGOS!$E81)</f>
        <v>NR 50 gr</v>
      </c>
      <c r="D82" s="452">
        <f>IF($A82="","",SUMIF(LUNES!$B:$B,$A82,LUNES!$D:$D))</f>
        <v>0</v>
      </c>
      <c r="E82" s="449">
        <f>IF($A82="","",SUMIF(MARTES!$B:$B,$A82,MARTES!$D:$D))</f>
        <v>0</v>
      </c>
      <c r="F82" s="449">
        <f>IF($A82="","",SUMIF(MIERCOLES!$B:$B,$A82,MIERCOLES!$D:$D))</f>
        <v>4</v>
      </c>
      <c r="G82" s="449">
        <f>IF($A82="","",SUMIF(JUEVES!$B:$B,$A82,JUEVES!$D:$D))</f>
        <v>4.5</v>
      </c>
      <c r="H82" s="449">
        <f>IF($A82="","",SUMIF(VIERNES!$B:$B,$A82,VIERNES!$D:$D))</f>
        <v>0</v>
      </c>
      <c r="I82" s="449">
        <f>IF($A82="","",SUMIF(SABADO!$B:$B,$A82,SABADO!$D:$D))</f>
        <v>4</v>
      </c>
      <c r="J82" s="459">
        <f>IF($A82="","",SUMIF(DOMINGO!$B:$B,$A82,DOMINGO!$D:$D))</f>
        <v>2</v>
      </c>
      <c r="K82" s="461">
        <f t="shared" si="2"/>
        <v>14.5</v>
      </c>
      <c r="L82" s="462">
        <f t="shared" si="3"/>
        <v>58</v>
      </c>
    </row>
    <row r="83" spans="1:12" x14ac:dyDescent="0.2">
      <c r="A83" s="456" t="str">
        <f>IF(CODIGOS!$A82="","",CODIGOS!$A82)</f>
        <v>V001045</v>
      </c>
      <c r="B83" s="443" t="str">
        <f>IF(CODIGOS!$B82="","",CODIGOS!$B82)</f>
        <v>JAMÓN DE PAVO</v>
      </c>
      <c r="C83" s="457" t="str">
        <f>IF(CODIGOS!$E82="","",CODIGOS!$E82)</f>
        <v>KG</v>
      </c>
      <c r="D83" s="452">
        <f>IF($A83="","",SUMIF(LUNES!$B:$B,$A83,LUNES!$D:$D))</f>
        <v>0</v>
      </c>
      <c r="E83" s="449">
        <f>IF($A83="","",SUMIF(MARTES!$B:$B,$A83,MARTES!$D:$D))</f>
        <v>0</v>
      </c>
      <c r="F83" s="449">
        <f>IF($A83="","",SUMIF(MIERCOLES!$B:$B,$A83,MIERCOLES!$D:$D))</f>
        <v>0</v>
      </c>
      <c r="G83" s="449">
        <f>IF($A83="","",SUMIF(JUEVES!$B:$B,$A83,JUEVES!$D:$D))</f>
        <v>0</v>
      </c>
      <c r="H83" s="449">
        <f>IF($A83="","",SUMIF(VIERNES!$B:$B,$A83,VIERNES!$D:$D))</f>
        <v>0</v>
      </c>
      <c r="I83" s="449">
        <f>IF($A83="","",SUMIF(SABADO!$B:$B,$A83,SABADO!$D:$D))</f>
        <v>0</v>
      </c>
      <c r="J83" s="459">
        <f>IF($A83="","",SUMIF(DOMINGO!$B:$B,$A83,DOMINGO!$D:$D))</f>
        <v>0</v>
      </c>
      <c r="K83" s="461">
        <f t="shared" si="2"/>
        <v>0</v>
      </c>
      <c r="L83" s="462">
        <f t="shared" si="3"/>
        <v>0</v>
      </c>
    </row>
    <row r="84" spans="1:12" x14ac:dyDescent="0.2">
      <c r="A84" s="456" t="str">
        <f>IF(CODIGOS!$A83="","",CODIGOS!$A83)</f>
        <v>V000347</v>
      </c>
      <c r="B84" s="443" t="str">
        <f>IF(CODIGOS!$B83="","",CODIGOS!$B83)</f>
        <v>JUGO INDIVIDUAL</v>
      </c>
      <c r="C84" s="457" t="str">
        <f>IF(CODIGOS!$E83="","",CODIGOS!$E83)</f>
        <v>NR</v>
      </c>
      <c r="D84" s="452">
        <f>IF($A84="","",SUMIF(LUNES!$B:$B,$A84,LUNES!$D:$D))</f>
        <v>0</v>
      </c>
      <c r="E84" s="449">
        <f>IF($A84="","",SUMIF(MARTES!$B:$B,$A84,MARTES!$D:$D))</f>
        <v>0</v>
      </c>
      <c r="F84" s="449">
        <f>IF($A84="","",SUMIF(MIERCOLES!$B:$B,$A84,MIERCOLES!$D:$D))</f>
        <v>0</v>
      </c>
      <c r="G84" s="449">
        <f>IF($A84="","",SUMIF(JUEVES!$B:$B,$A84,JUEVES!$D:$D))</f>
        <v>0</v>
      </c>
      <c r="H84" s="449">
        <f>IF($A84="","",SUMIF(VIERNES!$B:$B,$A84,VIERNES!$D:$D))</f>
        <v>0</v>
      </c>
      <c r="I84" s="449">
        <f>IF($A84="","",SUMIF(SABADO!$B:$B,$A84,SABADO!$D:$D))</f>
        <v>0</v>
      </c>
      <c r="J84" s="459">
        <f>IF($A84="","",SUMIF(DOMINGO!$B:$B,$A84,DOMINGO!$D:$D))</f>
        <v>0</v>
      </c>
      <c r="K84" s="461">
        <f t="shared" si="2"/>
        <v>0</v>
      </c>
      <c r="L84" s="462">
        <f t="shared" si="3"/>
        <v>0</v>
      </c>
    </row>
    <row r="85" spans="1:12" x14ac:dyDescent="0.2">
      <c r="A85" s="456" t="str">
        <f>IF(CODIGOS!$A84="","",CODIGOS!$A84)</f>
        <v>V000160</v>
      </c>
      <c r="B85" s="443" t="str">
        <f>IF(CODIGOS!$B84="","",CODIGOS!$B84)</f>
        <v>KIWI NATURAL</v>
      </c>
      <c r="C85" s="457" t="str">
        <f>IF(CODIGOS!$E84="","",CODIGOS!$E84)</f>
        <v>KG</v>
      </c>
      <c r="D85" s="452">
        <f>IF($A85="","",SUMIF(LUNES!$B:$B,$A85,LUNES!$D:$D))</f>
        <v>0</v>
      </c>
      <c r="E85" s="449">
        <f>IF($A85="","",SUMIF(MARTES!$B:$B,$A85,MARTES!$D:$D))</f>
        <v>0</v>
      </c>
      <c r="F85" s="449">
        <f>IF($A85="","",SUMIF(MIERCOLES!$B:$B,$A85,MIERCOLES!$D:$D))</f>
        <v>0</v>
      </c>
      <c r="G85" s="449">
        <f>IF($A85="","",SUMIF(JUEVES!$B:$B,$A85,JUEVES!$D:$D))</f>
        <v>0</v>
      </c>
      <c r="H85" s="449">
        <f>IF($A85="","",SUMIF(VIERNES!$B:$B,$A85,VIERNES!$D:$D))</f>
        <v>0</v>
      </c>
      <c r="I85" s="449">
        <f>IF($A85="","",SUMIF(SABADO!$B:$B,$A85,SABADO!$D:$D))</f>
        <v>0</v>
      </c>
      <c r="J85" s="459">
        <f>IF($A85="","",SUMIF(DOMINGO!$B:$B,$A85,DOMINGO!$D:$D))</f>
        <v>0</v>
      </c>
      <c r="K85" s="461">
        <f t="shared" si="2"/>
        <v>0</v>
      </c>
      <c r="L85" s="462">
        <f t="shared" si="3"/>
        <v>0</v>
      </c>
    </row>
    <row r="86" spans="1:12" x14ac:dyDescent="0.2">
      <c r="A86" s="456" t="str">
        <f>IF(CODIGOS!$A85="","",CODIGOS!$A85)</f>
        <v>C902882</v>
      </c>
      <c r="B86" s="443" t="str">
        <f>IF(CODIGOS!$B85="","",CODIGOS!$B85)</f>
        <v>LASAÑA 360G PRECOCIDA</v>
      </c>
      <c r="C86" s="457" t="str">
        <f>IF(CODIGOS!$E85="","",CODIGOS!$E85)</f>
        <v>PZ 360 GR</v>
      </c>
      <c r="D86" s="452">
        <f>IF($A86="","",SUMIF(LUNES!$B:$B,$A86,LUNES!$D:$D))</f>
        <v>0</v>
      </c>
      <c r="E86" s="449">
        <f>IF($A86="","",SUMIF(MARTES!$B:$B,$A86,MARTES!$D:$D))</f>
        <v>0</v>
      </c>
      <c r="F86" s="449">
        <f>IF($A86="","",SUMIF(MIERCOLES!$B:$B,$A86,MIERCOLES!$D:$D))</f>
        <v>0</v>
      </c>
      <c r="G86" s="449">
        <f>IF($A86="","",SUMIF(JUEVES!$B:$B,$A86,JUEVES!$D:$D))</f>
        <v>0</v>
      </c>
      <c r="H86" s="449">
        <f>IF($A86="","",SUMIF(VIERNES!$B:$B,$A86,VIERNES!$D:$D))</f>
        <v>0</v>
      </c>
      <c r="I86" s="449">
        <f>IF($A86="","",SUMIF(SABADO!$B:$B,$A86,SABADO!$D:$D))</f>
        <v>0</v>
      </c>
      <c r="J86" s="459">
        <f>IF($A86="","",SUMIF(DOMINGO!$B:$B,$A86,DOMINGO!$D:$D))</f>
        <v>0</v>
      </c>
      <c r="K86" s="461">
        <f t="shared" si="2"/>
        <v>0</v>
      </c>
      <c r="L86" s="462">
        <f t="shared" si="3"/>
        <v>0</v>
      </c>
    </row>
    <row r="87" spans="1:12" x14ac:dyDescent="0.2">
      <c r="A87" s="456" t="str">
        <f>IF(CODIGOS!$A86="","",CODIGOS!$A86)</f>
        <v>V000162</v>
      </c>
      <c r="B87" s="443" t="str">
        <f>IF(CODIGOS!$B86="","",CODIGOS!$B86)</f>
        <v>LAUREL</v>
      </c>
      <c r="C87" s="457" t="str">
        <f>IF(CODIGOS!$E86="","",CODIGOS!$E86)</f>
        <v>KG</v>
      </c>
      <c r="D87" s="452">
        <f>IF($A87="","",SUMIF(LUNES!$B:$B,$A87,LUNES!$D:$D))</f>
        <v>0</v>
      </c>
      <c r="E87" s="449">
        <f>IF($A87="","",SUMIF(MARTES!$B:$B,$A87,MARTES!$D:$D))</f>
        <v>0</v>
      </c>
      <c r="F87" s="449">
        <f>IF($A87="","",SUMIF(MIERCOLES!$B:$B,$A87,MIERCOLES!$D:$D))</f>
        <v>0</v>
      </c>
      <c r="G87" s="449">
        <f>IF($A87="","",SUMIF(JUEVES!$B:$B,$A87,JUEVES!$D:$D))</f>
        <v>0</v>
      </c>
      <c r="H87" s="449">
        <f>IF($A87="","",SUMIF(VIERNES!$B:$B,$A87,VIERNES!$D:$D))</f>
        <v>0</v>
      </c>
      <c r="I87" s="449">
        <f>IF($A87="","",SUMIF(SABADO!$B:$B,$A87,SABADO!$D:$D))</f>
        <v>0</v>
      </c>
      <c r="J87" s="459">
        <f>IF($A87="","",SUMIF(DOMINGO!$B:$B,$A87,DOMINGO!$D:$D))</f>
        <v>0</v>
      </c>
      <c r="K87" s="461">
        <f t="shared" si="2"/>
        <v>0</v>
      </c>
      <c r="L87" s="462">
        <f t="shared" si="3"/>
        <v>0</v>
      </c>
    </row>
    <row r="88" spans="1:12" x14ac:dyDescent="0.2">
      <c r="A88" s="456" t="str">
        <f>IF(CODIGOS!$A87="","",CODIGOS!$A87)</f>
        <v>V000835</v>
      </c>
      <c r="B88" s="443" t="str">
        <f>IF(CODIGOS!$B87="","",CODIGOS!$B87)</f>
        <v>LECHE CONDENSADA</v>
      </c>
      <c r="C88" s="457" t="str">
        <f>IF(CODIGOS!$E87="","",CODIGOS!$E87)</f>
        <v>TA 397 g</v>
      </c>
      <c r="D88" s="452">
        <f>IF($A88="","",SUMIF(LUNES!$B:$B,$A88,LUNES!$D:$D))</f>
        <v>0</v>
      </c>
      <c r="E88" s="449">
        <f>IF($A88="","",SUMIF(MARTES!$B:$B,$A88,MARTES!$D:$D))</f>
        <v>0</v>
      </c>
      <c r="F88" s="449">
        <f>IF($A88="","",SUMIF(MIERCOLES!$B:$B,$A88,MIERCOLES!$D:$D))</f>
        <v>0</v>
      </c>
      <c r="G88" s="449">
        <f>IF($A88="","",SUMIF(JUEVES!$B:$B,$A88,JUEVES!$D:$D))</f>
        <v>0</v>
      </c>
      <c r="H88" s="449">
        <f>IF($A88="","",SUMIF(VIERNES!$B:$B,$A88,VIERNES!$D:$D))</f>
        <v>0</v>
      </c>
      <c r="I88" s="449">
        <f>IF($A88="","",SUMIF(SABADO!$B:$B,$A88,SABADO!$D:$D))</f>
        <v>0</v>
      </c>
      <c r="J88" s="459">
        <f>IF($A88="","",SUMIF(DOMINGO!$B:$B,$A88,DOMINGO!$D:$D))</f>
        <v>0</v>
      </c>
      <c r="K88" s="461">
        <f t="shared" si="2"/>
        <v>0</v>
      </c>
      <c r="L88" s="462">
        <f t="shared" si="3"/>
        <v>0</v>
      </c>
    </row>
    <row r="89" spans="1:12" x14ac:dyDescent="0.2">
      <c r="A89" s="456" t="str">
        <f>IF(CODIGOS!$A88="","",CODIGOS!$A88)</f>
        <v>C902867</v>
      </c>
      <c r="B89" s="443" t="str">
        <f>IF(CODIGOS!$B88="","",CODIGOS!$B88)</f>
        <v>LECHE EN POLVO INSTANTANEA 0% M.G.</v>
      </c>
      <c r="C89" s="457" t="str">
        <f>IF(CODIGOS!$E88="","",CODIGOS!$E88)</f>
        <v>BG 900 g</v>
      </c>
      <c r="D89" s="452">
        <f>IF($A89="","",SUMIF(LUNES!$B:$B,$A89,LUNES!$D:$D))</f>
        <v>0</v>
      </c>
      <c r="E89" s="449">
        <f>IF($A89="","",SUMIF(MARTES!$B:$B,$A89,MARTES!$D:$D))</f>
        <v>0</v>
      </c>
      <c r="F89" s="449">
        <f>IF($A89="","",SUMIF(MIERCOLES!$B:$B,$A89,MIERCOLES!$D:$D))</f>
        <v>0</v>
      </c>
      <c r="G89" s="449">
        <f>IF($A89="","",SUMIF(JUEVES!$B:$B,$A89,JUEVES!$D:$D))</f>
        <v>0</v>
      </c>
      <c r="H89" s="449">
        <f>IF($A89="","",SUMIF(VIERNES!$B:$B,$A89,VIERNES!$D:$D))</f>
        <v>0</v>
      </c>
      <c r="I89" s="449">
        <f>IF($A89="","",SUMIF(SABADO!$B:$B,$A89,SABADO!$D:$D))</f>
        <v>0</v>
      </c>
      <c r="J89" s="459">
        <f>IF($A89="","",SUMIF(DOMINGO!$B:$B,$A89,DOMINGO!$D:$D))</f>
        <v>0</v>
      </c>
      <c r="K89" s="461">
        <f t="shared" si="2"/>
        <v>0</v>
      </c>
      <c r="L89" s="462">
        <f t="shared" si="3"/>
        <v>0</v>
      </c>
    </row>
    <row r="90" spans="1:12" x14ac:dyDescent="0.2">
      <c r="A90" s="456" t="str">
        <f>IF(CODIGOS!$A89="","",CODIGOS!$A89)</f>
        <v>C903239</v>
      </c>
      <c r="B90" s="443" t="str">
        <f>IF(CODIGOS!$B89="","",CODIGOS!$B89)</f>
        <v>LECHE EN POLVO INSTANTANEA 0% M.G. 600 GR</v>
      </c>
      <c r="C90" s="457" t="str">
        <f>IF(CODIGOS!$E89="","",CODIGOS!$E89)</f>
        <v>600 GR</v>
      </c>
      <c r="D90" s="452">
        <f>IF($A90="","",SUMIF(LUNES!$B:$B,$A90,LUNES!$D:$D))</f>
        <v>0</v>
      </c>
      <c r="E90" s="449">
        <f>IF($A90="","",SUMIF(MARTES!$B:$B,$A90,MARTES!$D:$D))</f>
        <v>0</v>
      </c>
      <c r="F90" s="449">
        <f>IF($A90="","",SUMIF(MIERCOLES!$B:$B,$A90,MIERCOLES!$D:$D))</f>
        <v>0</v>
      </c>
      <c r="G90" s="449">
        <f>IF($A90="","",SUMIF(JUEVES!$B:$B,$A90,JUEVES!$D:$D))</f>
        <v>0</v>
      </c>
      <c r="H90" s="449">
        <f>IF($A90="","",SUMIF(VIERNES!$B:$B,$A90,VIERNES!$D:$D))</f>
        <v>0</v>
      </c>
      <c r="I90" s="449">
        <f>IF($A90="","",SUMIF(SABADO!$B:$B,$A90,SABADO!$D:$D))</f>
        <v>0</v>
      </c>
      <c r="J90" s="459">
        <f>IF($A90="","",SUMIF(DOMINGO!$B:$B,$A90,DOMINGO!$D:$D))</f>
        <v>0</v>
      </c>
      <c r="K90" s="461">
        <f t="shared" si="2"/>
        <v>0</v>
      </c>
      <c r="L90" s="462">
        <f t="shared" si="3"/>
        <v>0</v>
      </c>
    </row>
    <row r="91" spans="1:12" x14ac:dyDescent="0.2">
      <c r="A91" s="456" t="str">
        <f>IF(CODIGOS!$A90="","",CODIGOS!$A90)</f>
        <v>C903335</v>
      </c>
      <c r="B91" s="443" t="str">
        <f>IF(CODIGOS!$B90="","",CODIGOS!$B90)</f>
        <v>LECHE EN POLVO 800 GRS.</v>
      </c>
      <c r="C91" s="457" t="str">
        <f>IF(CODIGOS!$E90="","",CODIGOS!$E90)</f>
        <v>800 grs</v>
      </c>
      <c r="D91" s="452">
        <f>IF($A91="","",SUMIF(LUNES!$B:$B,$A91,LUNES!$D:$D))</f>
        <v>2.4000000000000004</v>
      </c>
      <c r="E91" s="449">
        <f>IF($A91="","",SUMIF(MARTES!$B:$B,$A91,MARTES!$D:$D))</f>
        <v>1.6</v>
      </c>
      <c r="F91" s="449">
        <f>IF($A91="","",SUMIF(MIERCOLES!$B:$B,$A91,MIERCOLES!$D:$D))</f>
        <v>3.6</v>
      </c>
      <c r="G91" s="449">
        <f>IF($A91="","",SUMIF(JUEVES!$B:$B,$A91,JUEVES!$D:$D))</f>
        <v>1.6</v>
      </c>
      <c r="H91" s="449">
        <f>IF($A91="","",SUMIF(VIERNES!$B:$B,$A91,VIERNES!$D:$D))</f>
        <v>3.6</v>
      </c>
      <c r="I91" s="449">
        <f>IF($A91="","",SUMIF(SABADO!$B:$B,$A91,SABADO!$D:$D))</f>
        <v>1.6</v>
      </c>
      <c r="J91" s="459">
        <f>IF($A91="","",SUMIF(DOMINGO!$B:$B,$A91,DOMINGO!$D:$D))</f>
        <v>2.4000000000000004</v>
      </c>
      <c r="K91" s="461">
        <f t="shared" si="2"/>
        <v>16.799999999999997</v>
      </c>
      <c r="L91" s="462">
        <f t="shared" si="3"/>
        <v>67.199999999999989</v>
      </c>
    </row>
    <row r="92" spans="1:12" x14ac:dyDescent="0.2">
      <c r="A92" s="456" t="str">
        <f>IF(CODIGOS!$A91="","",CODIGOS!$A91)</f>
        <v>V000167</v>
      </c>
      <c r="B92" s="443" t="str">
        <f>IF(CODIGOS!$B91="","",CODIGOS!$B91)</f>
        <v>LECHE EVAPORADA</v>
      </c>
      <c r="C92" s="457" t="str">
        <f>IF(CODIGOS!$E91="","",CODIGOS!$E91)</f>
        <v>TA 400 g</v>
      </c>
      <c r="D92" s="452">
        <f>IF($A92="","",SUMIF(LUNES!$B:$B,$A92,LUNES!$D:$D))</f>
        <v>0</v>
      </c>
      <c r="E92" s="449">
        <f>IF($A92="","",SUMIF(MARTES!$B:$B,$A92,MARTES!$D:$D))</f>
        <v>0</v>
      </c>
      <c r="F92" s="449">
        <f>IF($A92="","",SUMIF(MIERCOLES!$B:$B,$A92,MIERCOLES!$D:$D))</f>
        <v>0</v>
      </c>
      <c r="G92" s="449">
        <f>IF($A92="","",SUMIF(JUEVES!$B:$B,$A92,JUEVES!$D:$D))</f>
        <v>0</v>
      </c>
      <c r="H92" s="449">
        <f>IF($A92="","",SUMIF(VIERNES!$B:$B,$A92,VIERNES!$D:$D))</f>
        <v>0</v>
      </c>
      <c r="I92" s="449">
        <f>IF($A92="","",SUMIF(SABADO!$B:$B,$A92,SABADO!$D:$D))</f>
        <v>0</v>
      </c>
      <c r="J92" s="459">
        <f>IF($A92="","",SUMIF(DOMINGO!$B:$B,$A92,DOMINGO!$D:$D))</f>
        <v>0</v>
      </c>
      <c r="K92" s="461">
        <f t="shared" si="2"/>
        <v>0</v>
      </c>
      <c r="L92" s="462">
        <f t="shared" si="3"/>
        <v>0</v>
      </c>
    </row>
    <row r="93" spans="1:12" x14ac:dyDescent="0.2">
      <c r="A93" s="456" t="str">
        <f>IF(CODIGOS!$A92="","",CODIGOS!$A92)</f>
        <v>V000170</v>
      </c>
      <c r="B93" s="443" t="str">
        <f>IF(CODIGOS!$B92="","",CODIGOS!$B92)</f>
        <v>LECHUGA ESCAROLA</v>
      </c>
      <c r="C93" s="457" t="str">
        <f>IF(CODIGOS!$E92="","",CODIGOS!$E92)</f>
        <v>NR (650 g)</v>
      </c>
      <c r="D93" s="452">
        <f>IF($A93="","",SUMIF(LUNES!$B:$B,$A93,LUNES!$D:$D))</f>
        <v>0</v>
      </c>
      <c r="E93" s="449">
        <f>IF($A93="","",SUMIF(MARTES!$B:$B,$A93,MARTES!$D:$D))</f>
        <v>3.2</v>
      </c>
      <c r="F93" s="449">
        <f>IF($A93="","",SUMIF(MIERCOLES!$B:$B,$A93,MIERCOLES!$D:$D))</f>
        <v>8</v>
      </c>
      <c r="G93" s="449">
        <f>IF($A93="","",SUMIF(JUEVES!$B:$B,$A93,JUEVES!$D:$D))</f>
        <v>0</v>
      </c>
      <c r="H93" s="449">
        <f>IF($A93="","",SUMIF(VIERNES!$B:$B,$A93,VIERNES!$D:$D))</f>
        <v>0</v>
      </c>
      <c r="I93" s="449">
        <f>IF($A93="","",SUMIF(SABADO!$B:$B,$A93,SABADO!$D:$D))</f>
        <v>3.2</v>
      </c>
      <c r="J93" s="459">
        <f>IF($A93="","",SUMIF(DOMINGO!$B:$B,$A93,DOMINGO!$D:$D))</f>
        <v>0</v>
      </c>
      <c r="K93" s="461">
        <f t="shared" si="2"/>
        <v>14.399999999999999</v>
      </c>
      <c r="L93" s="462">
        <f t="shared" si="3"/>
        <v>57.599999999999994</v>
      </c>
    </row>
    <row r="94" spans="1:12" x14ac:dyDescent="0.2">
      <c r="A94" s="456" t="str">
        <f>IF(CODIGOS!$A93="","",CODIGOS!$A93)</f>
        <v>C000193</v>
      </c>
      <c r="B94" s="443" t="str">
        <f>IF(CODIGOS!$B93="","",CODIGOS!$B93)</f>
        <v>LENTEJAS</v>
      </c>
      <c r="C94" s="457" t="str">
        <f>IF(CODIGOS!$E93="","",CODIGOS!$E93)</f>
        <v>KG</v>
      </c>
      <c r="D94" s="452">
        <f>IF($A94="","",SUMIF(LUNES!$B:$B,$A94,LUNES!$D:$D))</f>
        <v>0</v>
      </c>
      <c r="E94" s="449">
        <f>IF($A94="","",SUMIF(MARTES!$B:$B,$A94,MARTES!$D:$D))</f>
        <v>0</v>
      </c>
      <c r="F94" s="449">
        <f>IF($A94="","",SUMIF(MIERCOLES!$B:$B,$A94,MIERCOLES!$D:$D))</f>
        <v>1.2</v>
      </c>
      <c r="G94" s="449">
        <f>IF($A94="","",SUMIF(JUEVES!$B:$B,$A94,JUEVES!$D:$D))</f>
        <v>0</v>
      </c>
      <c r="H94" s="449">
        <f>IF($A94="","",SUMIF(VIERNES!$B:$B,$A94,VIERNES!$D:$D))</f>
        <v>0</v>
      </c>
      <c r="I94" s="449">
        <f>IF($A94="","",SUMIF(SABADO!$B:$B,$A94,SABADO!$D:$D))</f>
        <v>0</v>
      </c>
      <c r="J94" s="459">
        <f>IF($A94="","",SUMIF(DOMINGO!$B:$B,$A94,DOMINGO!$D:$D))</f>
        <v>0</v>
      </c>
      <c r="K94" s="461">
        <f t="shared" si="2"/>
        <v>1.2</v>
      </c>
      <c r="L94" s="462">
        <f t="shared" si="3"/>
        <v>4.8</v>
      </c>
    </row>
    <row r="95" spans="1:12" x14ac:dyDescent="0.2">
      <c r="A95" s="456" t="str">
        <f>IF(CODIGOS!$A94="","",CODIGOS!$A94)</f>
        <v>V000174</v>
      </c>
      <c r="B95" s="443" t="str">
        <f>IF(CODIGOS!$B94="","",CODIGOS!$B94)</f>
        <v>LEVADURA INSTANTANEA</v>
      </c>
      <c r="C95" s="457" t="str">
        <f>IF(CODIGOS!$E94="","",CODIGOS!$E94)</f>
        <v>KG</v>
      </c>
      <c r="D95" s="452">
        <f>IF($A95="","",SUMIF(LUNES!$B:$B,$A95,LUNES!$D:$D))</f>
        <v>0.11439999999999999</v>
      </c>
      <c r="E95" s="449">
        <f>IF($A95="","",SUMIF(MARTES!$B:$B,$A95,MARTES!$D:$D))</f>
        <v>0.11439999999999999</v>
      </c>
      <c r="F95" s="449">
        <f>IF($A95="","",SUMIF(MIERCOLES!$B:$B,$A95,MIERCOLES!$D:$D))</f>
        <v>0.11439999999999999</v>
      </c>
      <c r="G95" s="449">
        <f>IF($A95="","",SUMIF(JUEVES!$B:$B,$A95,JUEVES!$D:$D))</f>
        <v>0.11439999999999999</v>
      </c>
      <c r="H95" s="449">
        <f>IF($A95="","",SUMIF(VIERNES!$B:$B,$A95,VIERNES!$D:$D))</f>
        <v>0.11439999999999999</v>
      </c>
      <c r="I95" s="449">
        <f>IF($A95="","",SUMIF(SABADO!$B:$B,$A95,SABADO!$D:$D))</f>
        <v>0.11439999999999999</v>
      </c>
      <c r="J95" s="459">
        <f>IF($A95="","",SUMIF(DOMINGO!$B:$B,$A95,DOMINGO!$D:$D))</f>
        <v>0.11439999999999999</v>
      </c>
      <c r="K95" s="461">
        <f t="shared" si="2"/>
        <v>0.80079999999999985</v>
      </c>
      <c r="L95" s="462">
        <f t="shared" si="3"/>
        <v>3.2031999999999994</v>
      </c>
    </row>
    <row r="96" spans="1:12" x14ac:dyDescent="0.2">
      <c r="A96" s="456" t="str">
        <f>IF(CODIGOS!$A95="","",CODIGOS!$A95)</f>
        <v>V000176</v>
      </c>
      <c r="B96" s="443" t="str">
        <f>IF(CODIGOS!$B95="","",CODIGOS!$B95)</f>
        <v>LIMON NATURAL</v>
      </c>
      <c r="C96" s="457" t="str">
        <f>IF(CODIGOS!$E95="","",CODIGOS!$E95)</f>
        <v>KG</v>
      </c>
      <c r="D96" s="452">
        <f>IF($A96="","",SUMIF(LUNES!$B:$B,$A96,LUNES!$D:$D))</f>
        <v>0</v>
      </c>
      <c r="E96" s="449">
        <f>IF($A96="","",SUMIF(MARTES!$B:$B,$A96,MARTES!$D:$D))</f>
        <v>0</v>
      </c>
      <c r="F96" s="449">
        <f>IF($A96="","",SUMIF(MIERCOLES!$B:$B,$A96,MIERCOLES!$D:$D))</f>
        <v>0</v>
      </c>
      <c r="G96" s="449">
        <f>IF($A96="","",SUMIF(JUEVES!$B:$B,$A96,JUEVES!$D:$D))</f>
        <v>0</v>
      </c>
      <c r="H96" s="449">
        <f>IF($A96="","",SUMIF(VIERNES!$B:$B,$A96,VIERNES!$D:$D))</f>
        <v>0</v>
      </c>
      <c r="I96" s="449">
        <f>IF($A96="","",SUMIF(SABADO!$B:$B,$A96,SABADO!$D:$D))</f>
        <v>0</v>
      </c>
      <c r="J96" s="459">
        <f>IF($A96="","",SUMIF(DOMINGO!$B:$B,$A96,DOMINGO!$D:$D))</f>
        <v>0</v>
      </c>
      <c r="K96" s="461">
        <f t="shared" si="2"/>
        <v>0</v>
      </c>
      <c r="L96" s="462">
        <f t="shared" si="3"/>
        <v>0</v>
      </c>
    </row>
    <row r="97" spans="1:12" x14ac:dyDescent="0.2">
      <c r="A97" s="456" t="str">
        <f>IF(CODIGOS!$A96="","",CODIGOS!$A96)</f>
        <v>C902737</v>
      </c>
      <c r="B97" s="443" t="str">
        <f>IF(CODIGOS!$B96="","",CODIGOS!$B96)</f>
        <v>LOMO CERDO</v>
      </c>
      <c r="C97" s="457" t="str">
        <f>IF(CODIGOS!$E96="","",CODIGOS!$E96)</f>
        <v>KG</v>
      </c>
      <c r="D97" s="452">
        <f>IF($A97="","",SUMIF(LUNES!$B:$B,$A97,LUNES!$D:$D))</f>
        <v>0</v>
      </c>
      <c r="E97" s="449">
        <f>IF($A97="","",SUMIF(MARTES!$B:$B,$A97,MARTES!$D:$D))</f>
        <v>0</v>
      </c>
      <c r="F97" s="449">
        <f>IF($A97="","",SUMIF(MIERCOLES!$B:$B,$A97,MIERCOLES!$D:$D))</f>
        <v>13.6</v>
      </c>
      <c r="G97" s="449">
        <f>IF($A97="","",SUMIF(JUEVES!$B:$B,$A97,JUEVES!$D:$D))</f>
        <v>0</v>
      </c>
      <c r="H97" s="449">
        <f>IF($A97="","",SUMIF(VIERNES!$B:$B,$A97,VIERNES!$D:$D))</f>
        <v>34</v>
      </c>
      <c r="I97" s="449">
        <f>IF($A97="","",SUMIF(SABADO!$B:$B,$A97,SABADO!$D:$D))</f>
        <v>0</v>
      </c>
      <c r="J97" s="459">
        <f>IF($A97="","",SUMIF(DOMINGO!$B:$B,$A97,DOMINGO!$D:$D))</f>
        <v>0</v>
      </c>
      <c r="K97" s="461">
        <f t="shared" si="2"/>
        <v>47.6</v>
      </c>
      <c r="L97" s="462">
        <f t="shared" si="3"/>
        <v>190.4</v>
      </c>
    </row>
    <row r="98" spans="1:12" x14ac:dyDescent="0.2">
      <c r="A98" s="456" t="str">
        <f>IF(CODIGOS!$A97="","",CODIGOS!$A97)</f>
        <v>C903468</v>
      </c>
      <c r="B98" s="443" t="str">
        <f>IF(CODIGOS!$B97="","",CODIGOS!$B97)</f>
        <v>CERDO MEDALLÓN</v>
      </c>
      <c r="C98" s="457" t="str">
        <f>IF(CODIGOS!$E97="","",CODIGOS!$E97)</f>
        <v>KG</v>
      </c>
      <c r="D98" s="452">
        <f>IF($A98="","",SUMIF(LUNES!$B:$B,$A98,LUNES!$D:$D))</f>
        <v>13.6</v>
      </c>
      <c r="E98" s="449">
        <f>IF($A98="","",SUMIF(MARTES!$B:$B,$A98,MARTES!$D:$D))</f>
        <v>0</v>
      </c>
      <c r="F98" s="449">
        <f>IF($A98="","",SUMIF(MIERCOLES!$B:$B,$A98,MIERCOLES!$D:$D))</f>
        <v>0</v>
      </c>
      <c r="G98" s="449">
        <f>IF($A98="","",SUMIF(JUEVES!$B:$B,$A98,JUEVES!$D:$D))</f>
        <v>0</v>
      </c>
      <c r="H98" s="449">
        <f>IF($A98="","",SUMIF(VIERNES!$B:$B,$A98,VIERNES!$D:$D))</f>
        <v>0</v>
      </c>
      <c r="I98" s="449">
        <f>IF($A98="","",SUMIF(SABADO!$B:$B,$A98,SABADO!$D:$D))</f>
        <v>0</v>
      </c>
      <c r="J98" s="459">
        <f>IF($A98="","",SUMIF(DOMINGO!$B:$B,$A98,DOMINGO!$D:$D))</f>
        <v>0</v>
      </c>
      <c r="K98" s="461">
        <f t="shared" si="2"/>
        <v>13.6</v>
      </c>
      <c r="L98" s="462">
        <f t="shared" si="3"/>
        <v>54.4</v>
      </c>
    </row>
    <row r="99" spans="1:12" x14ac:dyDescent="0.2">
      <c r="A99" s="456" t="str">
        <f>IF(CODIGOS!$A98="","",CODIGOS!$A98)</f>
        <v>V000179</v>
      </c>
      <c r="B99" s="443" t="str">
        <f>IF(CODIGOS!$B98="","",CODIGOS!$B98)</f>
        <v>LONGANIZAS</v>
      </c>
      <c r="C99" s="457" t="str">
        <f>IF(CODIGOS!$E98="","",CODIGOS!$E98)</f>
        <v>KG</v>
      </c>
      <c r="D99" s="452">
        <f>IF($A99="","",SUMIF(LUNES!$B:$B,$A99,LUNES!$D:$D))</f>
        <v>0</v>
      </c>
      <c r="E99" s="449">
        <f>IF($A99="","",SUMIF(MARTES!$B:$B,$A99,MARTES!$D:$D))</f>
        <v>0</v>
      </c>
      <c r="F99" s="449">
        <f>IF($A99="","",SUMIF(MIERCOLES!$B:$B,$A99,MIERCOLES!$D:$D))</f>
        <v>0</v>
      </c>
      <c r="G99" s="449">
        <f>IF($A99="","",SUMIF(JUEVES!$B:$B,$A99,JUEVES!$D:$D))</f>
        <v>0</v>
      </c>
      <c r="H99" s="449">
        <f>IF($A99="","",SUMIF(VIERNES!$B:$B,$A99,VIERNES!$D:$D))</f>
        <v>0</v>
      </c>
      <c r="I99" s="449">
        <f>IF($A99="","",SUMIF(SABADO!$B:$B,$A99,SABADO!$D:$D))</f>
        <v>0</v>
      </c>
      <c r="J99" s="459">
        <f>IF($A99="","",SUMIF(DOMINGO!$B:$B,$A99,DOMINGO!$D:$D))</f>
        <v>0</v>
      </c>
      <c r="K99" s="461">
        <f t="shared" si="2"/>
        <v>0</v>
      </c>
      <c r="L99" s="462">
        <f t="shared" si="3"/>
        <v>0</v>
      </c>
    </row>
    <row r="100" spans="1:12" x14ac:dyDescent="0.2">
      <c r="A100" s="456" t="str">
        <f>IF(CODIGOS!$A99="","",CODIGOS!$A99)</f>
        <v>V000185</v>
      </c>
      <c r="B100" s="443" t="str">
        <f>IF(CODIGOS!$B99="","",CODIGOS!$B99)</f>
        <v>MAIZENA</v>
      </c>
      <c r="C100" s="457" t="str">
        <f>IF(CODIGOS!$E99="","",CODIGOS!$E99)</f>
        <v>KG</v>
      </c>
      <c r="D100" s="452">
        <f>IF($A100="","",SUMIF(LUNES!$B:$B,$A100,LUNES!$D:$D))</f>
        <v>0</v>
      </c>
      <c r="E100" s="449">
        <f>IF($A100="","",SUMIF(MARTES!$B:$B,$A100,MARTES!$D:$D))</f>
        <v>0</v>
      </c>
      <c r="F100" s="449">
        <f>IF($A100="","",SUMIF(MIERCOLES!$B:$B,$A100,MIERCOLES!$D:$D))</f>
        <v>0</v>
      </c>
      <c r="G100" s="449">
        <f>IF($A100="","",SUMIF(JUEVES!$B:$B,$A100,JUEVES!$D:$D))</f>
        <v>0</v>
      </c>
      <c r="H100" s="449">
        <f>IF($A100="","",SUMIF(VIERNES!$B:$B,$A100,VIERNES!$D:$D))</f>
        <v>0</v>
      </c>
      <c r="I100" s="449">
        <f>IF($A100="","",SUMIF(SABADO!$B:$B,$A100,SABADO!$D:$D))</f>
        <v>0</v>
      </c>
      <c r="J100" s="459">
        <f>IF($A100="","",SUMIF(DOMINGO!$B:$B,$A100,DOMINGO!$D:$D))</f>
        <v>0</v>
      </c>
      <c r="K100" s="461">
        <f t="shared" si="2"/>
        <v>0</v>
      </c>
      <c r="L100" s="462">
        <f t="shared" si="3"/>
        <v>0</v>
      </c>
    </row>
    <row r="101" spans="1:12" x14ac:dyDescent="0.2">
      <c r="A101" s="456" t="str">
        <f>IF(CODIGOS!$A100="","",CODIGOS!$A100)</f>
        <v>V000188</v>
      </c>
      <c r="B101" s="443" t="str">
        <f>IF(CODIGOS!$B100="","",CODIGOS!$B100)</f>
        <v>MANI</v>
      </c>
      <c r="C101" s="457" t="str">
        <f>IF(CODIGOS!$E100="","",CODIGOS!$E100)</f>
        <v>KG</v>
      </c>
      <c r="D101" s="452">
        <f>IF($A101="","",SUMIF(LUNES!$B:$B,$A101,LUNES!$D:$D))</f>
        <v>0</v>
      </c>
      <c r="E101" s="449">
        <f>IF($A101="","",SUMIF(MARTES!$B:$B,$A101,MARTES!$D:$D))</f>
        <v>0</v>
      </c>
      <c r="F101" s="449">
        <f>IF($A101="","",SUMIF(MIERCOLES!$B:$B,$A101,MIERCOLES!$D:$D))</f>
        <v>0</v>
      </c>
      <c r="G101" s="449">
        <f>IF($A101="","",SUMIF(JUEVES!$B:$B,$A101,JUEVES!$D:$D))</f>
        <v>0</v>
      </c>
      <c r="H101" s="449">
        <f>IF($A101="","",SUMIF(VIERNES!$B:$B,$A101,VIERNES!$D:$D))</f>
        <v>0</v>
      </c>
      <c r="I101" s="449">
        <f>IF($A101="","",SUMIF(SABADO!$B:$B,$A101,SABADO!$D:$D))</f>
        <v>0</v>
      </c>
      <c r="J101" s="459">
        <f>IF($A101="","",SUMIF(DOMINGO!$B:$B,$A101,DOMINGO!$D:$D))</f>
        <v>0</v>
      </c>
      <c r="K101" s="461">
        <f t="shared" si="2"/>
        <v>0</v>
      </c>
      <c r="L101" s="462">
        <f t="shared" si="3"/>
        <v>0</v>
      </c>
    </row>
    <row r="102" spans="1:12" x14ac:dyDescent="0.2">
      <c r="A102" s="456" t="str">
        <f>IF(CODIGOS!$A101="","",CODIGOS!$A101)</f>
        <v>V000518</v>
      </c>
      <c r="B102" s="443" t="str">
        <f>IF(CODIGOS!$B101="","",CODIGOS!$B101)</f>
        <v>MANTECA KG</v>
      </c>
      <c r="C102" s="457" t="str">
        <f>IF(CODIGOS!$E101="","",CODIGOS!$E101)</f>
        <v>EA</v>
      </c>
      <c r="D102" s="452">
        <f>IF($A102="","",SUMIF(LUNES!$B:$B,$A102,LUNES!$D:$D))</f>
        <v>0.68559999999999999</v>
      </c>
      <c r="E102" s="449">
        <f>IF($A102="","",SUMIF(MARTES!$B:$B,$A102,MARTES!$D:$D))</f>
        <v>0.68559999999999999</v>
      </c>
      <c r="F102" s="449">
        <f>IF($A102="","",SUMIF(MIERCOLES!$B:$B,$A102,MIERCOLES!$D:$D))</f>
        <v>0.68559999999999999</v>
      </c>
      <c r="G102" s="449">
        <f>IF($A102="","",SUMIF(JUEVES!$B:$B,$A102,JUEVES!$D:$D))</f>
        <v>2.6856</v>
      </c>
      <c r="H102" s="449">
        <f>IF($A102="","",SUMIF(VIERNES!$B:$B,$A102,VIERNES!$D:$D))</f>
        <v>0.68559999999999999</v>
      </c>
      <c r="I102" s="449">
        <f>IF($A102="","",SUMIF(SABADO!$B:$B,$A102,SABADO!$D:$D))</f>
        <v>0.68559999999999999</v>
      </c>
      <c r="J102" s="459">
        <f>IF($A102="","",SUMIF(DOMINGO!$B:$B,$A102,DOMINGO!$D:$D))</f>
        <v>0.68559999999999999</v>
      </c>
      <c r="K102" s="461">
        <f t="shared" si="2"/>
        <v>6.7991999999999999</v>
      </c>
      <c r="L102" s="462">
        <f t="shared" si="3"/>
        <v>27.1968</v>
      </c>
    </row>
    <row r="103" spans="1:12" x14ac:dyDescent="0.2">
      <c r="A103" s="456" t="str">
        <f>IF(CODIGOS!$A102="","",CODIGOS!$A102)</f>
        <v>V000192</v>
      </c>
      <c r="B103" s="443" t="str">
        <f>IF(CODIGOS!$B102="","",CODIGOS!$B102)</f>
        <v>MANTEQUILLA KG</v>
      </c>
      <c r="C103" s="457" t="str">
        <f>IF(CODIGOS!$E102="","",CODIGOS!$E102)</f>
        <v>KG</v>
      </c>
      <c r="D103" s="452">
        <f>IF($A103="","",SUMIF(LUNES!$B:$B,$A103,LUNES!$D:$D))</f>
        <v>0</v>
      </c>
      <c r="E103" s="449">
        <f>IF($A103="","",SUMIF(MARTES!$B:$B,$A103,MARTES!$D:$D))</f>
        <v>0</v>
      </c>
      <c r="F103" s="449">
        <f>IF($A103="","",SUMIF(MIERCOLES!$B:$B,$A103,MIERCOLES!$D:$D))</f>
        <v>1</v>
      </c>
      <c r="G103" s="449">
        <f>IF($A103="","",SUMIF(JUEVES!$B:$B,$A103,JUEVES!$D:$D))</f>
        <v>0</v>
      </c>
      <c r="H103" s="449">
        <f>IF($A103="","",SUMIF(VIERNES!$B:$B,$A103,VIERNES!$D:$D))</f>
        <v>0</v>
      </c>
      <c r="I103" s="449">
        <f>IF($A103="","",SUMIF(SABADO!$B:$B,$A103,SABADO!$D:$D))</f>
        <v>0</v>
      </c>
      <c r="J103" s="459">
        <f>IF($A103="","",SUMIF(DOMINGO!$B:$B,$A103,DOMINGO!$D:$D))</f>
        <v>0.4</v>
      </c>
      <c r="K103" s="461">
        <f t="shared" si="2"/>
        <v>1.4</v>
      </c>
      <c r="L103" s="462">
        <f t="shared" si="3"/>
        <v>5.6</v>
      </c>
    </row>
    <row r="104" spans="1:12" x14ac:dyDescent="0.2">
      <c r="A104" s="456" t="str">
        <f>IF(CODIGOS!$A103="","",CODIGOS!$A103)</f>
        <v>V000193</v>
      </c>
      <c r="B104" s="443" t="str">
        <f>IF(CODIGOS!$B103="","",CODIGOS!$B103)</f>
        <v>MANZANA NATURAL</v>
      </c>
      <c r="C104" s="457" t="str">
        <f>IF(CODIGOS!$E103="","",CODIGOS!$E103)</f>
        <v>KG</v>
      </c>
      <c r="D104" s="452">
        <f>IF($A104="","",SUMIF(LUNES!$B:$B,$A104,LUNES!$D:$D))</f>
        <v>24</v>
      </c>
      <c r="E104" s="449">
        <f>IF($A104="","",SUMIF(MARTES!$B:$B,$A104,MARTES!$D:$D))</f>
        <v>0</v>
      </c>
      <c r="F104" s="449">
        <f>IF($A104="","",SUMIF(MIERCOLES!$B:$B,$A104,MIERCOLES!$D:$D))</f>
        <v>0</v>
      </c>
      <c r="G104" s="449">
        <f>IF($A104="","",SUMIF(JUEVES!$B:$B,$A104,JUEVES!$D:$D))</f>
        <v>0</v>
      </c>
      <c r="H104" s="449">
        <f>IF($A104="","",SUMIF(VIERNES!$B:$B,$A104,VIERNES!$D:$D))</f>
        <v>0</v>
      </c>
      <c r="I104" s="449">
        <f>IF($A104="","",SUMIF(SABADO!$B:$B,$A104,SABADO!$D:$D))</f>
        <v>0</v>
      </c>
      <c r="J104" s="459">
        <f>IF($A104="","",SUMIF(DOMINGO!$B:$B,$A104,DOMINGO!$D:$D))</f>
        <v>0</v>
      </c>
      <c r="K104" s="461">
        <f t="shared" si="2"/>
        <v>24</v>
      </c>
      <c r="L104" s="462">
        <f t="shared" si="3"/>
        <v>96</v>
      </c>
    </row>
    <row r="105" spans="1:12" x14ac:dyDescent="0.2">
      <c r="A105" s="456" t="str">
        <f>IF(CODIGOS!$A104="","",CODIGOS!$A104)</f>
        <v>V000810</v>
      </c>
      <c r="B105" s="443" t="str">
        <f>IF(CODIGOS!$B104="","",CODIGOS!$B104)</f>
        <v>MANZANA VERDE</v>
      </c>
      <c r="C105" s="457" t="str">
        <f>IF(CODIGOS!$E104="","",CODIGOS!$E104)</f>
        <v>KG</v>
      </c>
      <c r="D105" s="452">
        <f>IF($A105="","",SUMIF(LUNES!$B:$B,$A105,LUNES!$D:$D))</f>
        <v>0</v>
      </c>
      <c r="E105" s="449">
        <f>IF($A105="","",SUMIF(MARTES!$B:$B,$A105,MARTES!$D:$D))</f>
        <v>0</v>
      </c>
      <c r="F105" s="449">
        <f>IF($A105="","",SUMIF(MIERCOLES!$B:$B,$A105,MIERCOLES!$D:$D))</f>
        <v>0</v>
      </c>
      <c r="G105" s="449">
        <f>IF($A105="","",SUMIF(JUEVES!$B:$B,$A105,JUEVES!$D:$D))</f>
        <v>0</v>
      </c>
      <c r="H105" s="449">
        <f>IF($A105="","",SUMIF(VIERNES!$B:$B,$A105,VIERNES!$D:$D))</f>
        <v>0</v>
      </c>
      <c r="I105" s="449">
        <f>IF($A105="","",SUMIF(SABADO!$B:$B,$A105,SABADO!$D:$D))</f>
        <v>0</v>
      </c>
      <c r="J105" s="459">
        <f>IF($A105="","",SUMIF(DOMINGO!$B:$B,$A105,DOMINGO!$D:$D))</f>
        <v>0</v>
      </c>
      <c r="K105" s="461">
        <f t="shared" si="2"/>
        <v>0</v>
      </c>
      <c r="L105" s="462">
        <f t="shared" si="3"/>
        <v>0</v>
      </c>
    </row>
    <row r="106" spans="1:12" x14ac:dyDescent="0.2">
      <c r="A106" s="456" t="str">
        <f>IF(CODIGOS!$A105="","",CODIGOS!$A105)</f>
        <v>V000523</v>
      </c>
      <c r="B106" s="443" t="str">
        <f>IF(CODIGOS!$B105="","",CODIGOS!$B105)</f>
        <v>MARGARINA PQ</v>
      </c>
      <c r="C106" s="457" t="str">
        <f>IF(CODIGOS!$E105="","",CODIGOS!$E105)</f>
        <v>PQ 250 gr</v>
      </c>
      <c r="D106" s="452">
        <f>IF($A106="","",SUMIF(LUNES!$B:$B,$A106,LUNES!$D:$D))</f>
        <v>0</v>
      </c>
      <c r="E106" s="449">
        <f>IF($A106="","",SUMIF(MARTES!$B:$B,$A106,MARTES!$D:$D))</f>
        <v>0</v>
      </c>
      <c r="F106" s="449">
        <f>IF($A106="","",SUMIF(MIERCOLES!$B:$B,$A106,MIERCOLES!$D:$D))</f>
        <v>0</v>
      </c>
      <c r="G106" s="449">
        <f>IF($A106="","",SUMIF(JUEVES!$B:$B,$A106,JUEVES!$D:$D))</f>
        <v>0</v>
      </c>
      <c r="H106" s="449">
        <f>IF($A106="","",SUMIF(VIERNES!$B:$B,$A106,VIERNES!$D:$D))</f>
        <v>1</v>
      </c>
      <c r="I106" s="449">
        <f>IF($A106="","",SUMIF(SABADO!$B:$B,$A106,SABADO!$D:$D))</f>
        <v>0</v>
      </c>
      <c r="J106" s="459">
        <f>IF($A106="","",SUMIF(DOMINGO!$B:$B,$A106,DOMINGO!$D:$D))</f>
        <v>0</v>
      </c>
      <c r="K106" s="461">
        <f t="shared" si="2"/>
        <v>1</v>
      </c>
      <c r="L106" s="462">
        <f t="shared" si="3"/>
        <v>4</v>
      </c>
    </row>
    <row r="107" spans="1:12" x14ac:dyDescent="0.2">
      <c r="A107" s="456" t="str">
        <f>IF(CODIGOS!$A106="","",CODIGOS!$A106)</f>
        <v>V000194</v>
      </c>
      <c r="B107" s="443" t="str">
        <f>IF(CODIGOS!$B106="","",CODIGOS!$B106)</f>
        <v>MARGARINA KG</v>
      </c>
      <c r="C107" s="457" t="str">
        <f>IF(CODIGOS!$E106="","",CODIGOS!$E106)</f>
        <v>KG</v>
      </c>
      <c r="D107" s="452">
        <f>IF($A107="","",SUMIF(LUNES!$B:$B,$A107,LUNES!$D:$D))</f>
        <v>0</v>
      </c>
      <c r="E107" s="449">
        <f>IF($A107="","",SUMIF(MARTES!$B:$B,$A107,MARTES!$D:$D))</f>
        <v>0</v>
      </c>
      <c r="F107" s="449">
        <f>IF($A107="","",SUMIF(MIERCOLES!$B:$B,$A107,MIERCOLES!$D:$D))</f>
        <v>0</v>
      </c>
      <c r="G107" s="449">
        <f>IF($A107="","",SUMIF(JUEVES!$B:$B,$A107,JUEVES!$D:$D))</f>
        <v>0</v>
      </c>
      <c r="H107" s="449">
        <f>IF($A107="","",SUMIF(VIERNES!$B:$B,$A107,VIERNES!$D:$D))</f>
        <v>0</v>
      </c>
      <c r="I107" s="449">
        <f>IF($A107="","",SUMIF(SABADO!$B:$B,$A107,SABADO!$D:$D))</f>
        <v>0</v>
      </c>
      <c r="J107" s="459">
        <f>IF($A107="","",SUMIF(DOMINGO!$B:$B,$A107,DOMINGO!$D:$D))</f>
        <v>0</v>
      </c>
      <c r="K107" s="461">
        <f t="shared" si="2"/>
        <v>0</v>
      </c>
      <c r="L107" s="462">
        <f t="shared" si="3"/>
        <v>0</v>
      </c>
    </row>
    <row r="108" spans="1:12" x14ac:dyDescent="0.2">
      <c r="A108" s="456" t="str">
        <f>IF(CODIGOS!$A107="","",CODIGOS!$A107)</f>
        <v>V000361</v>
      </c>
      <c r="B108" s="443" t="str">
        <f>IF(CODIGOS!$B107="","",CODIGOS!$B107)</f>
        <v>MAYONESA KG</v>
      </c>
      <c r="C108" s="457" t="str">
        <f>IF(CODIGOS!$E107="","",CODIGOS!$E107)</f>
        <v>KG</v>
      </c>
      <c r="D108" s="452">
        <f>IF($A108="","",SUMIF(LUNES!$B:$B,$A108,LUNES!$D:$D))</f>
        <v>0</v>
      </c>
      <c r="E108" s="449">
        <f>IF($A108="","",SUMIF(MARTES!$B:$B,$A108,MARTES!$D:$D))</f>
        <v>0.8</v>
      </c>
      <c r="F108" s="449">
        <f>IF($A108="","",SUMIF(MIERCOLES!$B:$B,$A108,MIERCOLES!$D:$D))</f>
        <v>0</v>
      </c>
      <c r="G108" s="449">
        <f>IF($A108="","",SUMIF(JUEVES!$B:$B,$A108,JUEVES!$D:$D))</f>
        <v>0</v>
      </c>
      <c r="H108" s="449">
        <f>IF($A108="","",SUMIF(VIERNES!$B:$B,$A108,VIERNES!$D:$D))</f>
        <v>0</v>
      </c>
      <c r="I108" s="449">
        <f>IF($A108="","",SUMIF(SABADO!$B:$B,$A108,SABADO!$D:$D))</f>
        <v>0.8</v>
      </c>
      <c r="J108" s="459">
        <f>IF($A108="","",SUMIF(DOMINGO!$B:$B,$A108,DOMINGO!$D:$D))</f>
        <v>0</v>
      </c>
      <c r="K108" s="461">
        <f t="shared" si="2"/>
        <v>1.6</v>
      </c>
      <c r="L108" s="462">
        <f t="shared" si="3"/>
        <v>6.4</v>
      </c>
    </row>
    <row r="109" spans="1:12" x14ac:dyDescent="0.2">
      <c r="A109" s="456" t="str">
        <f>IF(CODIGOS!$A108="","",CODIGOS!$A108)</f>
        <v>C903445</v>
      </c>
      <c r="B109" s="443" t="str">
        <f>IF(CODIGOS!$B108="","",CODIGOS!$B108)</f>
        <v>MERMELADA REGIMEL FRUTILLA</v>
      </c>
      <c r="C109" s="457" t="str">
        <f>IF(CODIGOS!$E108="","",CODIGOS!$E108)</f>
        <v>200 grs</v>
      </c>
      <c r="D109" s="452">
        <f>IF($A109="","",SUMIF(LUNES!$B:$B,$A109,LUNES!$D:$D))</f>
        <v>2</v>
      </c>
      <c r="E109" s="449">
        <f>IF($A109="","",SUMIF(MARTES!$B:$B,$A109,MARTES!$D:$D))</f>
        <v>0</v>
      </c>
      <c r="F109" s="449">
        <f>IF($A109="","",SUMIF(MIERCOLES!$B:$B,$A109,MIERCOLES!$D:$D))</f>
        <v>0</v>
      </c>
      <c r="G109" s="449">
        <f>IF($A109="","",SUMIF(JUEVES!$B:$B,$A109,JUEVES!$D:$D))</f>
        <v>0</v>
      </c>
      <c r="H109" s="449">
        <f>IF($A109="","",SUMIF(VIERNES!$B:$B,$A109,VIERNES!$D:$D))</f>
        <v>0</v>
      </c>
      <c r="I109" s="449">
        <f>IF($A109="","",SUMIF(SABADO!$B:$B,$A109,SABADO!$D:$D))</f>
        <v>0</v>
      </c>
      <c r="J109" s="459">
        <f>IF($A109="","",SUMIF(DOMINGO!$B:$B,$A109,DOMINGO!$D:$D))</f>
        <v>0</v>
      </c>
      <c r="K109" s="461">
        <f t="shared" si="2"/>
        <v>2</v>
      </c>
      <c r="L109" s="462">
        <f t="shared" si="3"/>
        <v>8</v>
      </c>
    </row>
    <row r="110" spans="1:12" x14ac:dyDescent="0.2">
      <c r="A110" s="456" t="str">
        <f>IF(CODIGOS!$A109="","",CODIGOS!$A109)</f>
        <v>C903446</v>
      </c>
      <c r="B110" s="443" t="str">
        <f>IF(CODIGOS!$B109="","",CODIGOS!$B109)</f>
        <v>MERMELADA REGIMEL DURAZNO</v>
      </c>
      <c r="C110" s="457" t="str">
        <f>IF(CODIGOS!$E109="","",CODIGOS!$E109)</f>
        <v>200 grs</v>
      </c>
      <c r="D110" s="452">
        <f>IF($A110="","",SUMIF(LUNES!$B:$B,$A110,LUNES!$D:$D))</f>
        <v>0</v>
      </c>
      <c r="E110" s="449">
        <f>IF($A110="","",SUMIF(MARTES!$B:$B,$A110,MARTES!$D:$D))</f>
        <v>0</v>
      </c>
      <c r="F110" s="449">
        <f>IF($A110="","",SUMIF(MIERCOLES!$B:$B,$A110,MIERCOLES!$D:$D))</f>
        <v>0</v>
      </c>
      <c r="G110" s="449">
        <f>IF($A110="","",SUMIF(JUEVES!$B:$B,$A110,JUEVES!$D:$D))</f>
        <v>0</v>
      </c>
      <c r="H110" s="449">
        <f>IF($A110="","",SUMIF(VIERNES!$B:$B,$A110,VIERNES!$D:$D))</f>
        <v>2</v>
      </c>
      <c r="I110" s="449">
        <f>IF($A110="","",SUMIF(SABADO!$B:$B,$A110,SABADO!$D:$D))</f>
        <v>0</v>
      </c>
      <c r="J110" s="459">
        <f>IF($A110="","",SUMIF(DOMINGO!$B:$B,$A110,DOMINGO!$D:$D))</f>
        <v>0</v>
      </c>
      <c r="K110" s="461">
        <f t="shared" si="2"/>
        <v>2</v>
      </c>
      <c r="L110" s="462">
        <f t="shared" si="3"/>
        <v>8</v>
      </c>
    </row>
    <row r="111" spans="1:12" x14ac:dyDescent="0.2">
      <c r="A111" s="456" t="str">
        <f>IF(CODIGOS!$A110="","",CODIGOS!$A110)</f>
        <v>V000202</v>
      </c>
      <c r="B111" s="443" t="str">
        <f>IF(CODIGOS!$B110="","",CODIGOS!$B110)</f>
        <v>MERMELADA SB</v>
      </c>
      <c r="C111" s="457" t="str">
        <f>IF(CODIGOS!$E110="","",CODIGOS!$E110)</f>
        <v>NR 250 GR</v>
      </c>
      <c r="D111" s="452">
        <f>IF($A111="","",SUMIF(LUNES!$B:$B,$A111,LUNES!$D:$D))</f>
        <v>0</v>
      </c>
      <c r="E111" s="449">
        <f>IF($A111="","",SUMIF(MARTES!$B:$B,$A111,MARTES!$D:$D))</f>
        <v>0</v>
      </c>
      <c r="F111" s="449">
        <f>IF($A111="","",SUMIF(MIERCOLES!$B:$B,$A111,MIERCOLES!$D:$D))</f>
        <v>0</v>
      </c>
      <c r="G111" s="449">
        <f>IF($A111="","",SUMIF(JUEVES!$B:$B,$A111,JUEVES!$D:$D))</f>
        <v>0</v>
      </c>
      <c r="H111" s="449">
        <f>IF($A111="","",SUMIF(VIERNES!$B:$B,$A111,VIERNES!$D:$D))</f>
        <v>0</v>
      </c>
      <c r="I111" s="449">
        <f>IF($A111="","",SUMIF(SABADO!$B:$B,$A111,SABADO!$D:$D))</f>
        <v>0</v>
      </c>
      <c r="J111" s="459">
        <f>IF($A111="","",SUMIF(DOMINGO!$B:$B,$A111,DOMINGO!$D:$D))</f>
        <v>0</v>
      </c>
      <c r="K111" s="461">
        <f t="shared" si="2"/>
        <v>0</v>
      </c>
      <c r="L111" s="462">
        <f t="shared" si="3"/>
        <v>0</v>
      </c>
    </row>
    <row r="112" spans="1:12" x14ac:dyDescent="0.2">
      <c r="A112" s="456" t="str">
        <f>IF(CODIGOS!$A111="","",CODIGOS!$A111)</f>
        <v>V000200</v>
      </c>
      <c r="B112" s="443" t="str">
        <f>IF(CODIGOS!$B111="","",CODIGOS!$B111)</f>
        <v>MERMELADA KG</v>
      </c>
      <c r="C112" s="457" t="str">
        <f>IF(CODIGOS!$E111="","",CODIGOS!$E111)</f>
        <v>KG</v>
      </c>
      <c r="D112" s="452">
        <f>IF($A112="","",SUMIF(LUNES!$B:$B,$A112,LUNES!$D:$D))</f>
        <v>0</v>
      </c>
      <c r="E112" s="449">
        <f>IF($A112="","",SUMIF(MARTES!$B:$B,$A112,MARTES!$D:$D))</f>
        <v>0</v>
      </c>
      <c r="F112" s="449">
        <f>IF($A112="","",SUMIF(MIERCOLES!$B:$B,$A112,MIERCOLES!$D:$D))</f>
        <v>0</v>
      </c>
      <c r="G112" s="449">
        <f>IF($A112="","",SUMIF(JUEVES!$B:$B,$A112,JUEVES!$D:$D))</f>
        <v>0</v>
      </c>
      <c r="H112" s="449">
        <f>IF($A112="","",SUMIF(VIERNES!$B:$B,$A112,VIERNES!$D:$D))</f>
        <v>0</v>
      </c>
      <c r="I112" s="449">
        <f>IF($A112="","",SUMIF(SABADO!$B:$B,$A112,SABADO!$D:$D))</f>
        <v>0</v>
      </c>
      <c r="J112" s="459">
        <f>IF($A112="","",SUMIF(DOMINGO!$B:$B,$A112,DOMINGO!$D:$D))</f>
        <v>0</v>
      </c>
      <c r="K112" s="461">
        <f t="shared" si="2"/>
        <v>0</v>
      </c>
      <c r="L112" s="462">
        <f t="shared" si="3"/>
        <v>0</v>
      </c>
    </row>
    <row r="113" spans="1:12" x14ac:dyDescent="0.2">
      <c r="A113" s="456" t="str">
        <f>IF(CODIGOS!$A112="","",CODIGOS!$A112)</f>
        <v>V000456</v>
      </c>
      <c r="B113" s="443" t="str">
        <f>IF(CODIGOS!$B112="","",CODIGOS!$B112)</f>
        <v>MIEL DE ABEJA</v>
      </c>
      <c r="C113" s="457" t="str">
        <f>IF(CODIGOS!$E112="","",CODIGOS!$E112)</f>
        <v>KG</v>
      </c>
      <c r="D113" s="452">
        <f>IF($A113="","",SUMIF(LUNES!$B:$B,$A113,LUNES!$D:$D))</f>
        <v>0</v>
      </c>
      <c r="E113" s="449">
        <f>IF($A113="","",SUMIF(MARTES!$B:$B,$A113,MARTES!$D:$D))</f>
        <v>0</v>
      </c>
      <c r="F113" s="449">
        <f>IF($A113="","",SUMIF(MIERCOLES!$B:$B,$A113,MIERCOLES!$D:$D))</f>
        <v>0</v>
      </c>
      <c r="G113" s="449">
        <f>IF($A113="","",SUMIF(JUEVES!$B:$B,$A113,JUEVES!$D:$D))</f>
        <v>0</v>
      </c>
      <c r="H113" s="449">
        <f>IF($A113="","",SUMIF(VIERNES!$B:$B,$A113,VIERNES!$D:$D))</f>
        <v>0</v>
      </c>
      <c r="I113" s="449">
        <f>IF($A113="","",SUMIF(SABADO!$B:$B,$A113,SABADO!$D:$D))</f>
        <v>0</v>
      </c>
      <c r="J113" s="459">
        <f>IF($A113="","",SUMIF(DOMINGO!$B:$B,$A113,DOMINGO!$D:$D))</f>
        <v>0</v>
      </c>
      <c r="K113" s="461">
        <f t="shared" si="2"/>
        <v>0</v>
      </c>
      <c r="L113" s="462">
        <f t="shared" si="3"/>
        <v>0</v>
      </c>
    </row>
    <row r="114" spans="1:12" x14ac:dyDescent="0.2">
      <c r="A114" s="456" t="str">
        <f>IF(CODIGOS!$A113="","",CODIGOS!$A113)</f>
        <v>V000625</v>
      </c>
      <c r="B114" s="443" t="str">
        <f>IF(CODIGOS!$B113="","",CODIGOS!$B113)</f>
        <v>MORRON ROJO</v>
      </c>
      <c r="C114" s="457" t="str">
        <f>IF(CODIGOS!$E113="","",CODIGOS!$E113)</f>
        <v>NR 130 gr, 110,5</v>
      </c>
      <c r="D114" s="452">
        <f>IF($A114="","",SUMIF(LUNES!$B:$B,$A114,LUNES!$D:$D))</f>
        <v>0</v>
      </c>
      <c r="E114" s="449">
        <f>IF($A114="","",SUMIF(MARTES!$B:$B,$A114,MARTES!$D:$D))</f>
        <v>0</v>
      </c>
      <c r="F114" s="449">
        <f>IF($A114="","",SUMIF(MIERCOLES!$B:$B,$A114,MIERCOLES!$D:$D))</f>
        <v>0</v>
      </c>
      <c r="G114" s="449">
        <f>IF($A114="","",SUMIF(JUEVES!$B:$B,$A114,JUEVES!$D:$D))</f>
        <v>0</v>
      </c>
      <c r="H114" s="449">
        <f>IF($A114="","",SUMIF(VIERNES!$B:$B,$A114,VIERNES!$D:$D))</f>
        <v>0</v>
      </c>
      <c r="I114" s="449">
        <f>IF($A114="","",SUMIF(SABADO!$B:$B,$A114,SABADO!$D:$D))</f>
        <v>0</v>
      </c>
      <c r="J114" s="459">
        <f>IF($A114="","",SUMIF(DOMINGO!$B:$B,$A114,DOMINGO!$D:$D))</f>
        <v>0</v>
      </c>
      <c r="K114" s="461">
        <f t="shared" si="2"/>
        <v>0</v>
      </c>
      <c r="L114" s="462">
        <f t="shared" si="3"/>
        <v>0</v>
      </c>
    </row>
    <row r="115" spans="1:12" x14ac:dyDescent="0.2">
      <c r="A115" s="456" t="str">
        <f>IF(CODIGOS!$A114="","",CODIGOS!$A114)</f>
        <v>V000207</v>
      </c>
      <c r="B115" s="443" t="str">
        <f>IF(CODIGOS!$B114="","",CODIGOS!$B114)</f>
        <v>MOSTAZA</v>
      </c>
      <c r="C115" s="457" t="str">
        <f>IF(CODIGOS!$E114="","",CODIGOS!$E114)</f>
        <v>KG</v>
      </c>
      <c r="D115" s="452">
        <f>IF($A115="","",SUMIF(LUNES!$B:$B,$A115,LUNES!$D:$D))</f>
        <v>0</v>
      </c>
      <c r="E115" s="449">
        <f>IF($A115="","",SUMIF(MARTES!$B:$B,$A115,MARTES!$D:$D))</f>
        <v>0</v>
      </c>
      <c r="F115" s="449">
        <f>IF($A115="","",SUMIF(MIERCOLES!$B:$B,$A115,MIERCOLES!$D:$D))</f>
        <v>0</v>
      </c>
      <c r="G115" s="449">
        <f>IF($A115="","",SUMIF(JUEVES!$B:$B,$A115,JUEVES!$D:$D))</f>
        <v>0</v>
      </c>
      <c r="H115" s="449">
        <f>IF($A115="","",SUMIF(VIERNES!$B:$B,$A115,VIERNES!$D:$D))</f>
        <v>0</v>
      </c>
      <c r="I115" s="449">
        <f>IF($A115="","",SUMIF(SABADO!$B:$B,$A115,SABADO!$D:$D))</f>
        <v>0</v>
      </c>
      <c r="J115" s="459">
        <f>IF($A115="","",SUMIF(DOMINGO!$B:$B,$A115,DOMINGO!$D:$D))</f>
        <v>0.4</v>
      </c>
      <c r="K115" s="461">
        <f t="shared" si="2"/>
        <v>0.4</v>
      </c>
      <c r="L115" s="462">
        <f t="shared" si="3"/>
        <v>1.6</v>
      </c>
    </row>
    <row r="116" spans="1:12" x14ac:dyDescent="0.2">
      <c r="A116" s="456" t="str">
        <f>IF(CODIGOS!$A115="","",CODIGOS!$A115)</f>
        <v>C903240</v>
      </c>
      <c r="B116" s="443" t="str">
        <f>IF(CODIGOS!$B115="","",CODIGOS!$B115)</f>
        <v>MOTE</v>
      </c>
      <c r="C116" s="457" t="str">
        <f>IF(CODIGOS!$E115="","",CODIGOS!$E115)</f>
        <v>KG</v>
      </c>
      <c r="D116" s="452">
        <f>IF($A116="","",SUMIF(LUNES!$B:$B,$A116,LUNES!$D:$D))</f>
        <v>0</v>
      </c>
      <c r="E116" s="449">
        <f>IF($A116="","",SUMIF(MARTES!$B:$B,$A116,MARTES!$D:$D))</f>
        <v>0</v>
      </c>
      <c r="F116" s="449">
        <f>IF($A116="","",SUMIF(MIERCOLES!$B:$B,$A116,MIERCOLES!$D:$D))</f>
        <v>0</v>
      </c>
      <c r="G116" s="449">
        <f>IF($A116="","",SUMIF(JUEVES!$B:$B,$A116,JUEVES!$D:$D))</f>
        <v>2</v>
      </c>
      <c r="H116" s="449">
        <f>IF($A116="","",SUMIF(VIERNES!$B:$B,$A116,VIERNES!$D:$D))</f>
        <v>0</v>
      </c>
      <c r="I116" s="449">
        <f>IF($A116="","",SUMIF(SABADO!$B:$B,$A116,SABADO!$D:$D))</f>
        <v>0</v>
      </c>
      <c r="J116" s="459">
        <f>IF($A116="","",SUMIF(DOMINGO!$B:$B,$A116,DOMINGO!$D:$D))</f>
        <v>0</v>
      </c>
      <c r="K116" s="461">
        <f t="shared" si="2"/>
        <v>2</v>
      </c>
      <c r="L116" s="462">
        <f t="shared" si="3"/>
        <v>8</v>
      </c>
    </row>
    <row r="117" spans="1:12" x14ac:dyDescent="0.2">
      <c r="A117" s="456" t="str">
        <f>IF(CODIGOS!$A116="","",CODIGOS!$A116)</f>
        <v>V000210</v>
      </c>
      <c r="B117" s="443" t="str">
        <f>IF(CODIGOS!$B116="","",CODIGOS!$B116)</f>
        <v>NARANJAS NATURAL</v>
      </c>
      <c r="C117" s="457" t="str">
        <f>IF(CODIGOS!$E116="","",CODIGOS!$E116)</f>
        <v>KG</v>
      </c>
      <c r="D117" s="452">
        <f>IF($A117="","",SUMIF(LUNES!$B:$B,$A117,LUNES!$D:$D))</f>
        <v>0</v>
      </c>
      <c r="E117" s="449">
        <f>IF($A117="","",SUMIF(MARTES!$B:$B,$A117,MARTES!$D:$D))</f>
        <v>0</v>
      </c>
      <c r="F117" s="449">
        <f>IF($A117="","",SUMIF(MIERCOLES!$B:$B,$A117,MIERCOLES!$D:$D))</f>
        <v>0</v>
      </c>
      <c r="G117" s="449">
        <f>IF($A117="","",SUMIF(JUEVES!$B:$B,$A117,JUEVES!$D:$D))</f>
        <v>0</v>
      </c>
      <c r="H117" s="449">
        <f>IF($A117="","",SUMIF(VIERNES!$B:$B,$A117,VIERNES!$D:$D))</f>
        <v>0</v>
      </c>
      <c r="I117" s="449">
        <f>IF($A117="","",SUMIF(SABADO!$B:$B,$A117,SABADO!$D:$D))</f>
        <v>0</v>
      </c>
      <c r="J117" s="459">
        <f>IF($A117="","",SUMIF(DOMINGO!$B:$B,$A117,DOMINGO!$D:$D))</f>
        <v>0</v>
      </c>
      <c r="K117" s="461">
        <f t="shared" si="2"/>
        <v>0</v>
      </c>
      <c r="L117" s="462">
        <f t="shared" si="3"/>
        <v>0</v>
      </c>
    </row>
    <row r="118" spans="1:12" x14ac:dyDescent="0.2">
      <c r="A118" s="456" t="str">
        <f>IF(CODIGOS!$A117="","",CODIGOS!$A117)</f>
        <v>V000211</v>
      </c>
      <c r="B118" s="443" t="str">
        <f>IF(CODIGOS!$B117="","",CODIGOS!$B117)</f>
        <v>NUECES</v>
      </c>
      <c r="C118" s="457" t="str">
        <f>IF(CODIGOS!$E117="","",CODIGOS!$E117)</f>
        <v>KG</v>
      </c>
      <c r="D118" s="452">
        <f>IF($A118="","",SUMIF(LUNES!$B:$B,$A118,LUNES!$D:$D))</f>
        <v>0</v>
      </c>
      <c r="E118" s="449">
        <f>IF($A118="","",SUMIF(MARTES!$B:$B,$A118,MARTES!$D:$D))</f>
        <v>0</v>
      </c>
      <c r="F118" s="449">
        <f>IF($A118="","",SUMIF(MIERCOLES!$B:$B,$A118,MIERCOLES!$D:$D))</f>
        <v>0</v>
      </c>
      <c r="G118" s="449">
        <f>IF($A118="","",SUMIF(JUEVES!$B:$B,$A118,JUEVES!$D:$D))</f>
        <v>0</v>
      </c>
      <c r="H118" s="449">
        <f>IF($A118="","",SUMIF(VIERNES!$B:$B,$A118,VIERNES!$D:$D))</f>
        <v>0</v>
      </c>
      <c r="I118" s="449">
        <f>IF($A118="","",SUMIF(SABADO!$B:$B,$A118,SABADO!$D:$D))</f>
        <v>0</v>
      </c>
      <c r="J118" s="459">
        <f>IF($A118="","",SUMIF(DOMINGO!$B:$B,$A118,DOMINGO!$D:$D))</f>
        <v>0</v>
      </c>
      <c r="K118" s="461">
        <f t="shared" si="2"/>
        <v>0</v>
      </c>
      <c r="L118" s="462">
        <f t="shared" si="3"/>
        <v>0</v>
      </c>
    </row>
    <row r="119" spans="1:12" x14ac:dyDescent="0.2">
      <c r="A119" s="456" t="str">
        <f>IF(CODIGOS!$A118="","",CODIGOS!$A118)</f>
        <v>V000214</v>
      </c>
      <c r="B119" s="443" t="str">
        <f>IF(CODIGOS!$B118="","",CODIGOS!$B118)</f>
        <v>OREGANO</v>
      </c>
      <c r="C119" s="457" t="str">
        <f>IF(CODIGOS!$E118="","",CODIGOS!$E118)</f>
        <v>KG</v>
      </c>
      <c r="D119" s="452">
        <f>IF($A119="","",SUMIF(LUNES!$B:$B,$A119,LUNES!$D:$D))</f>
        <v>0.04</v>
      </c>
      <c r="E119" s="449">
        <f>IF($A119="","",SUMIF(MARTES!$B:$B,$A119,MARTES!$D:$D))</f>
        <v>0</v>
      </c>
      <c r="F119" s="449">
        <f>IF($A119="","",SUMIF(MIERCOLES!$B:$B,$A119,MIERCOLES!$D:$D))</f>
        <v>0</v>
      </c>
      <c r="G119" s="449">
        <f>IF($A119="","",SUMIF(JUEVES!$B:$B,$A119,JUEVES!$D:$D))</f>
        <v>0.04</v>
      </c>
      <c r="H119" s="449">
        <f>IF($A119="","",SUMIF(VIERNES!$B:$B,$A119,VIERNES!$D:$D))</f>
        <v>0</v>
      </c>
      <c r="I119" s="449">
        <f>IF($A119="","",SUMIF(SABADO!$B:$B,$A119,SABADO!$D:$D))</f>
        <v>0.04</v>
      </c>
      <c r="J119" s="459">
        <f>IF($A119="","",SUMIF(DOMINGO!$B:$B,$A119,DOMINGO!$D:$D))</f>
        <v>0</v>
      </c>
      <c r="K119" s="461">
        <f t="shared" si="2"/>
        <v>0.12</v>
      </c>
      <c r="L119" s="462">
        <f t="shared" si="3"/>
        <v>0.48</v>
      </c>
    </row>
    <row r="120" spans="1:12" x14ac:dyDescent="0.2">
      <c r="A120" s="456" t="str">
        <f>IF(CODIGOS!$A119="","",CODIGOS!$A119)</f>
        <v>C903327</v>
      </c>
      <c r="B120" s="443" t="str">
        <f>IF(CODIGOS!$B119="","",CODIGOS!$B119)</f>
        <v>PALMITOS 800 G</v>
      </c>
      <c r="C120" s="457" t="str">
        <f>IF(CODIGOS!$E119="","",CODIGOS!$E119)</f>
        <v>TA (800 g)</v>
      </c>
      <c r="D120" s="452">
        <f>IF($A120="","",SUMIF(LUNES!$B:$B,$A120,LUNES!$D:$D))</f>
        <v>0</v>
      </c>
      <c r="E120" s="449">
        <f>IF($A120="","",SUMIF(MARTES!$B:$B,$A120,MARTES!$D:$D))</f>
        <v>0</v>
      </c>
      <c r="F120" s="449">
        <f>IF($A120="","",SUMIF(MIERCOLES!$B:$B,$A120,MIERCOLES!$D:$D))</f>
        <v>0</v>
      </c>
      <c r="G120" s="449">
        <f>IF($A120="","",SUMIF(JUEVES!$B:$B,$A120,JUEVES!$D:$D))</f>
        <v>0</v>
      </c>
      <c r="H120" s="449">
        <f>IF($A120="","",SUMIF(VIERNES!$B:$B,$A120,VIERNES!$D:$D))</f>
        <v>0</v>
      </c>
      <c r="I120" s="449">
        <f>IF($A120="","",SUMIF(SABADO!$B:$B,$A120,SABADO!$D:$D))</f>
        <v>0</v>
      </c>
      <c r="J120" s="459">
        <f>IF($A120="","",SUMIF(DOMINGO!$B:$B,$A120,DOMINGO!$D:$D))</f>
        <v>0</v>
      </c>
      <c r="K120" s="461">
        <f t="shared" si="2"/>
        <v>0</v>
      </c>
      <c r="L120" s="462">
        <f t="shared" si="3"/>
        <v>0</v>
      </c>
    </row>
    <row r="121" spans="1:12" x14ac:dyDescent="0.2">
      <c r="A121" s="456" t="str">
        <f>IF(CODIGOS!$A120="","",CODIGOS!$A120)</f>
        <v>V000216</v>
      </c>
      <c r="B121" s="443" t="str">
        <f>IF(CODIGOS!$B120="","",CODIGOS!$B120)</f>
        <v>PALMITOS</v>
      </c>
      <c r="C121" s="457" t="str">
        <f>IF(CODIGOS!$E120="","",CODIGOS!$E120)</f>
        <v>TA (800 g)</v>
      </c>
      <c r="D121" s="452">
        <f>IF($A121="","",SUMIF(LUNES!$B:$B,$A121,LUNES!$D:$D))</f>
        <v>0</v>
      </c>
      <c r="E121" s="449">
        <f>IF($A121="","",SUMIF(MARTES!$B:$B,$A121,MARTES!$D:$D))</f>
        <v>0</v>
      </c>
      <c r="F121" s="449">
        <f>IF($A121="","",SUMIF(MIERCOLES!$B:$B,$A121,MIERCOLES!$D:$D))</f>
        <v>0</v>
      </c>
      <c r="G121" s="449">
        <f>IF($A121="","",SUMIF(JUEVES!$B:$B,$A121,JUEVES!$D:$D))</f>
        <v>0</v>
      </c>
      <c r="H121" s="449">
        <f>IF($A121="","",SUMIF(VIERNES!$B:$B,$A121,VIERNES!$D:$D))</f>
        <v>0</v>
      </c>
      <c r="I121" s="449">
        <f>IF($A121="","",SUMIF(SABADO!$B:$B,$A121,SABADO!$D:$D))</f>
        <v>0</v>
      </c>
      <c r="J121" s="459">
        <f>IF($A121="","",SUMIF(DOMINGO!$B:$B,$A121,DOMINGO!$D:$D))</f>
        <v>0</v>
      </c>
      <c r="K121" s="461">
        <f t="shared" si="2"/>
        <v>0</v>
      </c>
      <c r="L121" s="462">
        <f t="shared" si="3"/>
        <v>0</v>
      </c>
    </row>
    <row r="122" spans="1:12" x14ac:dyDescent="0.2">
      <c r="A122" s="456" t="str">
        <f>IF(CODIGOS!$A121="","",CODIGOS!$A121)</f>
        <v>V000217</v>
      </c>
      <c r="B122" s="443" t="str">
        <f>IF(CODIGOS!$B121="","",CODIGOS!$B121)</f>
        <v>PALTA NATURAL</v>
      </c>
      <c r="C122" s="457" t="str">
        <f>IF(CODIGOS!$E121="","",CODIGOS!$E121)</f>
        <v>KG</v>
      </c>
      <c r="D122" s="452">
        <f>IF($A122="","",SUMIF(LUNES!$B:$B,$A122,LUNES!$D:$D))</f>
        <v>0</v>
      </c>
      <c r="E122" s="449">
        <f>IF($A122="","",SUMIF(MARTES!$B:$B,$A122,MARTES!$D:$D))</f>
        <v>0</v>
      </c>
      <c r="F122" s="449">
        <f>IF($A122="","",SUMIF(MIERCOLES!$B:$B,$A122,MIERCOLES!$D:$D))</f>
        <v>0</v>
      </c>
      <c r="G122" s="449">
        <f>IF($A122="","",SUMIF(JUEVES!$B:$B,$A122,JUEVES!$D:$D))</f>
        <v>0</v>
      </c>
      <c r="H122" s="449">
        <f>IF($A122="","",SUMIF(VIERNES!$B:$B,$A122,VIERNES!$D:$D))</f>
        <v>0</v>
      </c>
      <c r="I122" s="449">
        <f>IF($A122="","",SUMIF(SABADO!$B:$B,$A122,SABADO!$D:$D))</f>
        <v>0</v>
      </c>
      <c r="J122" s="459">
        <f>IF($A122="","",SUMIF(DOMINGO!$B:$B,$A122,DOMINGO!$D:$D))</f>
        <v>0</v>
      </c>
      <c r="K122" s="461">
        <f t="shared" si="2"/>
        <v>0</v>
      </c>
      <c r="L122" s="462">
        <f t="shared" si="3"/>
        <v>0</v>
      </c>
    </row>
    <row r="123" spans="1:12" x14ac:dyDescent="0.2">
      <c r="A123" s="456" t="str">
        <f>IF(CODIGOS!$A122="","",CODIGOS!$A122)</f>
        <v>V000415</v>
      </c>
      <c r="B123" s="443" t="str">
        <f>IF(CODIGOS!$B122="","",CODIGOS!$B122)</f>
        <v>PAN</v>
      </c>
      <c r="C123" s="457" t="str">
        <f>IF(CODIGOS!$E122="","",CODIGOS!$E122)</f>
        <v>KG</v>
      </c>
      <c r="D123" s="452">
        <f>IF($A123="","",SUMIF(LUNES!$B:$B,$A123,LUNES!$D:$D))</f>
        <v>22</v>
      </c>
      <c r="E123" s="449">
        <f>IF($A123="","",SUMIF(MARTES!$B:$B,$A123,MARTES!$D:$D))</f>
        <v>22</v>
      </c>
      <c r="F123" s="449">
        <f>IF($A123="","",SUMIF(MIERCOLES!$B:$B,$A123,MIERCOLES!$D:$D))</f>
        <v>22</v>
      </c>
      <c r="G123" s="449">
        <f>IF($A123="","",SUMIF(JUEVES!$B:$B,$A123,JUEVES!$D:$D))</f>
        <v>14.8</v>
      </c>
      <c r="H123" s="449">
        <f>IF($A123="","",SUMIF(VIERNES!$B:$B,$A123,VIERNES!$D:$D))</f>
        <v>22</v>
      </c>
      <c r="I123" s="449">
        <f>IF($A123="","",SUMIF(SABADO!$B:$B,$A123,SABADO!$D:$D))</f>
        <v>16</v>
      </c>
      <c r="J123" s="459">
        <f>IF($A123="","",SUMIF(DOMINGO!$B:$B,$A123,DOMINGO!$D:$D))</f>
        <v>16.8</v>
      </c>
      <c r="K123" s="461">
        <f t="shared" si="2"/>
        <v>135.6</v>
      </c>
      <c r="L123" s="462">
        <f t="shared" si="3"/>
        <v>542.4</v>
      </c>
    </row>
    <row r="124" spans="1:12" x14ac:dyDescent="0.2">
      <c r="A124" s="456" t="str">
        <f>IF(CODIGOS!$A123="","",CODIGOS!$A123)</f>
        <v>C000801</v>
      </c>
      <c r="B124" s="443" t="str">
        <f>IF(CODIGOS!$B123="","",CODIGOS!$B123)</f>
        <v>PAPAS</v>
      </c>
      <c r="C124" s="457" t="str">
        <f>IF(CODIGOS!$E123="","",CODIGOS!$E123)</f>
        <v>KG</v>
      </c>
      <c r="D124" s="452">
        <f>IF($A124="","",SUMIF(LUNES!$B:$B,$A124,LUNES!$D:$D))</f>
        <v>26</v>
      </c>
      <c r="E124" s="449">
        <f>IF($A124="","",SUMIF(MARTES!$B:$B,$A124,MARTES!$D:$D))</f>
        <v>16</v>
      </c>
      <c r="F124" s="449">
        <f>IF($A124="","",SUMIF(MIERCOLES!$B:$B,$A124,MIERCOLES!$D:$D))</f>
        <v>0</v>
      </c>
      <c r="G124" s="449">
        <f>IF($A124="","",SUMIF(JUEVES!$B:$B,$A124,JUEVES!$D:$D))</f>
        <v>20</v>
      </c>
      <c r="H124" s="449">
        <f>IF($A124="","",SUMIF(VIERNES!$B:$B,$A124,VIERNES!$D:$D))</f>
        <v>0</v>
      </c>
      <c r="I124" s="449">
        <f>IF($A124="","",SUMIF(SABADO!$B:$B,$A124,SABADO!$D:$D))</f>
        <v>16</v>
      </c>
      <c r="J124" s="459">
        <f>IF($A124="","",SUMIF(DOMINGO!$B:$B,$A124,DOMINGO!$D:$D))</f>
        <v>24</v>
      </c>
      <c r="K124" s="461">
        <f t="shared" si="2"/>
        <v>102</v>
      </c>
      <c r="L124" s="462">
        <f t="shared" si="3"/>
        <v>408</v>
      </c>
    </row>
    <row r="125" spans="1:12" x14ac:dyDescent="0.2">
      <c r="A125" s="456" t="str">
        <f>IF(CODIGOS!$A124="","",CODIGOS!$A124)</f>
        <v>C903293</v>
      </c>
      <c r="B125" s="443" t="str">
        <f>IF(CODIGOS!$B124="","",CODIGOS!$B124)</f>
        <v>PAPAS PREFRITAS, KG.</v>
      </c>
      <c r="C125" s="457" t="str">
        <f>IF(CODIGOS!$E124="","",CODIGOS!$E124)</f>
        <v>KG</v>
      </c>
      <c r="D125" s="452">
        <f>IF($A125="","",SUMIF(LUNES!$B:$B,$A125,LUNES!$D:$D))</f>
        <v>0</v>
      </c>
      <c r="E125" s="449">
        <f>IF($A125="","",SUMIF(MARTES!$B:$B,$A125,MARTES!$D:$D))</f>
        <v>0</v>
      </c>
      <c r="F125" s="449">
        <f>IF($A125="","",SUMIF(MIERCOLES!$B:$B,$A125,MIERCOLES!$D:$D))</f>
        <v>0</v>
      </c>
      <c r="G125" s="449">
        <f>IF($A125="","",SUMIF(JUEVES!$B:$B,$A125,JUEVES!$D:$D))</f>
        <v>0</v>
      </c>
      <c r="H125" s="449">
        <f>IF($A125="","",SUMIF(VIERNES!$B:$B,$A125,VIERNES!$D:$D))</f>
        <v>17.600000000000001</v>
      </c>
      <c r="I125" s="449">
        <f>IF($A125="","",SUMIF(SABADO!$B:$B,$A125,SABADO!$D:$D))</f>
        <v>0</v>
      </c>
      <c r="J125" s="459">
        <f>IF($A125="","",SUMIF(DOMINGO!$B:$B,$A125,DOMINGO!$D:$D))</f>
        <v>0</v>
      </c>
      <c r="K125" s="461">
        <f t="shared" si="2"/>
        <v>17.600000000000001</v>
      </c>
      <c r="L125" s="462">
        <f t="shared" si="3"/>
        <v>70.400000000000006</v>
      </c>
    </row>
    <row r="126" spans="1:12" x14ac:dyDescent="0.2">
      <c r="A126" s="456" t="str">
        <f>IF(CODIGOS!$A125="","",CODIGOS!$A125)</f>
        <v>V000222</v>
      </c>
      <c r="B126" s="443" t="str">
        <f>IF(CODIGOS!$B125="","",CODIGOS!$B125)</f>
        <v>PASAS</v>
      </c>
      <c r="C126" s="457" t="str">
        <f>IF(CODIGOS!$E125="","",CODIGOS!$E125)</f>
        <v>KG</v>
      </c>
      <c r="D126" s="452">
        <f>IF($A126="","",SUMIF(LUNES!$B:$B,$A126,LUNES!$D:$D))</f>
        <v>0</v>
      </c>
      <c r="E126" s="449">
        <f>IF($A126="","",SUMIF(MARTES!$B:$B,$A126,MARTES!$D:$D))</f>
        <v>0</v>
      </c>
      <c r="F126" s="449">
        <f>IF($A126="","",SUMIF(MIERCOLES!$B:$B,$A126,MIERCOLES!$D:$D))</f>
        <v>0</v>
      </c>
      <c r="G126" s="449">
        <f>IF($A126="","",SUMIF(JUEVES!$B:$B,$A126,JUEVES!$D:$D))</f>
        <v>0</v>
      </c>
      <c r="H126" s="449">
        <f>IF($A126="","",SUMIF(VIERNES!$B:$B,$A126,VIERNES!$D:$D))</f>
        <v>0</v>
      </c>
      <c r="I126" s="449">
        <f>IF($A126="","",SUMIF(SABADO!$B:$B,$A126,SABADO!$D:$D))</f>
        <v>0</v>
      </c>
      <c r="J126" s="459">
        <f>IF($A126="","",SUMIF(DOMINGO!$B:$B,$A126,DOMINGO!$D:$D))</f>
        <v>0</v>
      </c>
      <c r="K126" s="461">
        <f t="shared" si="2"/>
        <v>0</v>
      </c>
      <c r="L126" s="462">
        <f t="shared" si="3"/>
        <v>0</v>
      </c>
    </row>
    <row r="127" spans="1:12" x14ac:dyDescent="0.2">
      <c r="A127" s="456" t="str">
        <f>IF(CODIGOS!$A126="","",CODIGOS!$A126)</f>
        <v>V000899</v>
      </c>
      <c r="B127" s="443" t="str">
        <f>IF(CODIGOS!$B126="","",CODIGOS!$B126)</f>
        <v>PASTA DE CHOCLO</v>
      </c>
      <c r="C127" s="457" t="str">
        <f>IF(CODIGOS!$E126="","",CODIGOS!$E126)</f>
        <v>KG</v>
      </c>
      <c r="D127" s="452">
        <f>IF($A127="","",SUMIF(LUNES!$B:$B,$A127,LUNES!$D:$D))</f>
        <v>0</v>
      </c>
      <c r="E127" s="449">
        <f>IF($A127="","",SUMIF(MARTES!$B:$B,$A127,MARTES!$D:$D))</f>
        <v>0</v>
      </c>
      <c r="F127" s="449">
        <f>IF($A127="","",SUMIF(MIERCOLES!$B:$B,$A127,MIERCOLES!$D:$D))</f>
        <v>0</v>
      </c>
      <c r="G127" s="449">
        <f>IF($A127="","",SUMIF(JUEVES!$B:$B,$A127,JUEVES!$D:$D))</f>
        <v>0</v>
      </c>
      <c r="H127" s="449">
        <f>IF($A127="","",SUMIF(VIERNES!$B:$B,$A127,VIERNES!$D:$D))</f>
        <v>0</v>
      </c>
      <c r="I127" s="449">
        <f>IF($A127="","",SUMIF(SABADO!$B:$B,$A127,SABADO!$D:$D))</f>
        <v>0</v>
      </c>
      <c r="J127" s="459">
        <f>IF($A127="","",SUMIF(DOMINGO!$B:$B,$A127,DOMINGO!$D:$D))</f>
        <v>0</v>
      </c>
      <c r="K127" s="461">
        <f t="shared" si="2"/>
        <v>0</v>
      </c>
      <c r="L127" s="462">
        <f t="shared" si="3"/>
        <v>0</v>
      </c>
    </row>
    <row r="128" spans="1:12" x14ac:dyDescent="0.2">
      <c r="A128" s="456" t="str">
        <f>IF(CODIGOS!$A127="","",CODIGOS!$A127)</f>
        <v>C903328</v>
      </c>
      <c r="B128" s="443" t="str">
        <f>IF(CODIGOS!$B127="","",CODIGOS!$B127)</f>
        <v>PAVO CUBOS CONGELADO</v>
      </c>
      <c r="C128" s="457" t="str">
        <f>IF(CODIGOS!$E127="","",CODIGOS!$E127)</f>
        <v>KG</v>
      </c>
      <c r="D128" s="452">
        <f>IF($A128="","",SUMIF(LUNES!$B:$B,$A128,LUNES!$D:$D))</f>
        <v>0</v>
      </c>
      <c r="E128" s="449">
        <f>IF($A128="","",SUMIF(MARTES!$B:$B,$A128,MARTES!$D:$D))</f>
        <v>0</v>
      </c>
      <c r="F128" s="449">
        <f>IF($A128="","",SUMIF(MIERCOLES!$B:$B,$A128,MIERCOLES!$D:$D))</f>
        <v>0</v>
      </c>
      <c r="G128" s="449">
        <f>IF($A128="","",SUMIF(JUEVES!$B:$B,$A128,JUEVES!$D:$D))</f>
        <v>0</v>
      </c>
      <c r="H128" s="449">
        <f>IF($A128="","",SUMIF(VIERNES!$B:$B,$A128,VIERNES!$D:$D))</f>
        <v>0</v>
      </c>
      <c r="I128" s="449">
        <f>IF($A128="","",SUMIF(SABADO!$B:$B,$A128,SABADO!$D:$D))</f>
        <v>0</v>
      </c>
      <c r="J128" s="459">
        <f>IF($A128="","",SUMIF(DOMINGO!$B:$B,$A128,DOMINGO!$D:$D))</f>
        <v>0</v>
      </c>
      <c r="K128" s="461">
        <f t="shared" si="2"/>
        <v>0</v>
      </c>
      <c r="L128" s="462">
        <f t="shared" si="3"/>
        <v>0</v>
      </c>
    </row>
    <row r="129" spans="1:12" x14ac:dyDescent="0.2">
      <c r="A129" s="456" t="str">
        <f>IF(CODIGOS!$A128="","",CODIGOS!$A128)</f>
        <v>C008040</v>
      </c>
      <c r="B129" s="443" t="str">
        <f>IF(CODIGOS!$B128="","",CODIGOS!$B128)</f>
        <v>PAVO PECHUGA</v>
      </c>
      <c r="C129" s="457" t="str">
        <f>IF(CODIGOS!$E128="","",CODIGOS!$E128)</f>
        <v>KG</v>
      </c>
      <c r="D129" s="452">
        <f>IF($A129="","",SUMIF(LUNES!$B:$B,$A129,LUNES!$D:$D))</f>
        <v>0</v>
      </c>
      <c r="E129" s="449">
        <f>IF($A129="","",SUMIF(MARTES!$B:$B,$A129,MARTES!$D:$D))</f>
        <v>0</v>
      </c>
      <c r="F129" s="449">
        <f>IF($A129="","",SUMIF(MIERCOLES!$B:$B,$A129,MIERCOLES!$D:$D))</f>
        <v>0</v>
      </c>
      <c r="G129" s="449">
        <f>IF($A129="","",SUMIF(JUEVES!$B:$B,$A129,JUEVES!$D:$D))</f>
        <v>0</v>
      </c>
      <c r="H129" s="449">
        <f>IF($A129="","",SUMIF(VIERNES!$B:$B,$A129,VIERNES!$D:$D))</f>
        <v>0</v>
      </c>
      <c r="I129" s="449">
        <f>IF($A129="","",SUMIF(SABADO!$B:$B,$A129,SABADO!$D:$D))</f>
        <v>0</v>
      </c>
      <c r="J129" s="459">
        <f>IF($A129="","",SUMIF(DOMINGO!$B:$B,$A129,DOMINGO!$D:$D))</f>
        <v>0</v>
      </c>
      <c r="K129" s="461">
        <f t="shared" si="2"/>
        <v>0</v>
      </c>
      <c r="L129" s="462">
        <f t="shared" si="3"/>
        <v>0</v>
      </c>
    </row>
    <row r="130" spans="1:12" x14ac:dyDescent="0.2">
      <c r="A130" s="456" t="str">
        <f>IF(CODIGOS!$A129="","",CODIGOS!$A129)</f>
        <v>C903424</v>
      </c>
      <c r="B130" s="443" t="str">
        <f>IF(CODIGOS!$B129="","",CODIGOS!$B129)</f>
        <v>PAVO PECHUGA ENTERA CON HUESO</v>
      </c>
      <c r="C130" s="457" t="str">
        <f>IF(CODIGOS!$E129="","",CODIGOS!$E129)</f>
        <v>KG</v>
      </c>
      <c r="D130" s="452">
        <f>IF($A130="","",SUMIF(LUNES!$B:$B,$A130,LUNES!$D:$D))</f>
        <v>0</v>
      </c>
      <c r="E130" s="449">
        <f>IF($A130="","",SUMIF(MARTES!$B:$B,$A130,MARTES!$D:$D))</f>
        <v>0</v>
      </c>
      <c r="F130" s="449">
        <f>IF($A130="","",SUMIF(MIERCOLES!$B:$B,$A130,MIERCOLES!$D:$D))</f>
        <v>0</v>
      </c>
      <c r="G130" s="449">
        <f>IF($A130="","",SUMIF(JUEVES!$B:$B,$A130,JUEVES!$D:$D))</f>
        <v>0</v>
      </c>
      <c r="H130" s="449">
        <f>IF($A130="","",SUMIF(VIERNES!$B:$B,$A130,VIERNES!$D:$D))</f>
        <v>0</v>
      </c>
      <c r="I130" s="449">
        <f>IF($A130="","",SUMIF(SABADO!$B:$B,$A130,SABADO!$D:$D))</f>
        <v>0</v>
      </c>
      <c r="J130" s="459">
        <f>IF($A130="","",SUMIF(DOMINGO!$B:$B,$A130,DOMINGO!$D:$D))</f>
        <v>0</v>
      </c>
      <c r="K130" s="461">
        <f t="shared" si="2"/>
        <v>0</v>
      </c>
      <c r="L130" s="462">
        <f t="shared" si="3"/>
        <v>0</v>
      </c>
    </row>
    <row r="131" spans="1:12" x14ac:dyDescent="0.2">
      <c r="A131" s="456" t="str">
        <f>IF(CODIGOS!$A130="","",CODIGOS!$A130)</f>
        <v>V000229</v>
      </c>
      <c r="B131" s="443" t="str">
        <f>IF(CODIGOS!$B130="","",CODIGOS!$B130)</f>
        <v>PEPINOS DE ENSALADA</v>
      </c>
      <c r="C131" s="457" t="str">
        <f>IF(CODIGOS!$E130="","",CODIGOS!$E130)</f>
        <v>NR 400 gr</v>
      </c>
      <c r="D131" s="452">
        <f>IF($A131="","",SUMIF(LUNES!$B:$B,$A131,LUNES!$D:$D))</f>
        <v>0</v>
      </c>
      <c r="E131" s="449">
        <f>IF($A131="","",SUMIF(MARTES!$B:$B,$A131,MARTES!$D:$D))</f>
        <v>8</v>
      </c>
      <c r="F131" s="449">
        <f>IF($A131="","",SUMIF(MIERCOLES!$B:$B,$A131,MIERCOLES!$D:$D))</f>
        <v>0</v>
      </c>
      <c r="G131" s="449">
        <f>IF($A131="","",SUMIF(JUEVES!$B:$B,$A131,JUEVES!$D:$D))</f>
        <v>0</v>
      </c>
      <c r="H131" s="449">
        <f>IF($A131="","",SUMIF(VIERNES!$B:$B,$A131,VIERNES!$D:$D))</f>
        <v>0</v>
      </c>
      <c r="I131" s="449">
        <f>IF($A131="","",SUMIF(SABADO!$B:$B,$A131,SABADO!$D:$D))</f>
        <v>0</v>
      </c>
      <c r="J131" s="459">
        <f>IF($A131="","",SUMIF(DOMINGO!$B:$B,$A131,DOMINGO!$D:$D))</f>
        <v>0</v>
      </c>
      <c r="K131" s="461">
        <f t="shared" si="2"/>
        <v>8</v>
      </c>
      <c r="L131" s="462">
        <f t="shared" si="3"/>
        <v>32</v>
      </c>
    </row>
    <row r="132" spans="1:12" x14ac:dyDescent="0.2">
      <c r="A132" s="456" t="str">
        <f>IF(CODIGOS!$A131="","",CODIGOS!$A131)</f>
        <v>V000230</v>
      </c>
      <c r="B132" s="443" t="str">
        <f>IF(CODIGOS!$B131="","",CODIGOS!$B131)</f>
        <v>PERAS NATURALES</v>
      </c>
      <c r="C132" s="457" t="str">
        <f>IF(CODIGOS!$E131="","",CODIGOS!$E131)</f>
        <v>KG</v>
      </c>
      <c r="D132" s="452">
        <f>IF($A132="","",SUMIF(LUNES!$B:$B,$A132,LUNES!$D:$D))</f>
        <v>0</v>
      </c>
      <c r="E132" s="449">
        <f>IF($A132="","",SUMIF(MARTES!$B:$B,$A132,MARTES!$D:$D))</f>
        <v>0</v>
      </c>
      <c r="F132" s="449">
        <f>IF($A132="","",SUMIF(MIERCOLES!$B:$B,$A132,MIERCOLES!$D:$D))</f>
        <v>0</v>
      </c>
      <c r="G132" s="449">
        <f>IF($A132="","",SUMIF(JUEVES!$B:$B,$A132,JUEVES!$D:$D))</f>
        <v>0</v>
      </c>
      <c r="H132" s="449">
        <f>IF($A132="","",SUMIF(VIERNES!$B:$B,$A132,VIERNES!$D:$D))</f>
        <v>0</v>
      </c>
      <c r="I132" s="449">
        <f>IF($A132="","",SUMIF(SABADO!$B:$B,$A132,SABADO!$D:$D))</f>
        <v>0</v>
      </c>
      <c r="J132" s="459">
        <f>IF($A132="","",SUMIF(DOMINGO!$B:$B,$A132,DOMINGO!$D:$D))</f>
        <v>0</v>
      </c>
      <c r="K132" s="461">
        <f t="shared" si="2"/>
        <v>0</v>
      </c>
      <c r="L132" s="462">
        <f t="shared" si="3"/>
        <v>0</v>
      </c>
    </row>
    <row r="133" spans="1:12" x14ac:dyDescent="0.2">
      <c r="A133" s="456" t="str">
        <f>IF(CODIGOS!$A132="","",CODIGOS!$A132)</f>
        <v>V000231</v>
      </c>
      <c r="B133" s="443" t="str">
        <f>IF(CODIGOS!$B132="","",CODIGOS!$B132)</f>
        <v>PEREJIL</v>
      </c>
      <c r="C133" s="457" t="str">
        <f>IF(CODIGOS!$E132="","",CODIGOS!$E132)</f>
        <v>NR 200 gr</v>
      </c>
      <c r="D133" s="452">
        <f>IF($A133="","",SUMIF(LUNES!$B:$B,$A133,LUNES!$D:$D))</f>
        <v>0.1</v>
      </c>
      <c r="E133" s="449">
        <f>IF($A133="","",SUMIF(MARTES!$B:$B,$A133,MARTES!$D:$D))</f>
        <v>0</v>
      </c>
      <c r="F133" s="449">
        <f>IF($A133="","",SUMIF(MIERCOLES!$B:$B,$A133,MIERCOLES!$D:$D))</f>
        <v>0.04</v>
      </c>
      <c r="G133" s="449">
        <f>IF($A133="","",SUMIF(JUEVES!$B:$B,$A133,JUEVES!$D:$D))</f>
        <v>0</v>
      </c>
      <c r="H133" s="449">
        <f>IF($A133="","",SUMIF(VIERNES!$B:$B,$A133,VIERNES!$D:$D))</f>
        <v>0.2</v>
      </c>
      <c r="I133" s="449">
        <f>IF($A133="","",SUMIF(SABADO!$B:$B,$A133,SABADO!$D:$D))</f>
        <v>0.16</v>
      </c>
      <c r="J133" s="459">
        <f>IF($A133="","",SUMIF(DOMINGO!$B:$B,$A133,DOMINGO!$D:$D))</f>
        <v>0</v>
      </c>
      <c r="K133" s="461">
        <f t="shared" ref="K133:K196" si="4">IF($A133="","",SUM($D133:$J133))</f>
        <v>0.5</v>
      </c>
      <c r="L133" s="462">
        <f t="shared" ref="L133:L196" si="5">IF(K133="","",K133*4)</f>
        <v>2</v>
      </c>
    </row>
    <row r="134" spans="1:12" x14ac:dyDescent="0.2">
      <c r="A134" s="456" t="str">
        <f>IF(CODIGOS!$A133="","",CODIGOS!$A133)</f>
        <v>C902839</v>
      </c>
      <c r="B134" s="443" t="str">
        <f>IF(CODIGOS!$B133="","",CODIGOS!$B133)</f>
        <v>PESCADO COJINOVA</v>
      </c>
      <c r="C134" s="457" t="str">
        <f>IF(CODIGOS!$E133="","",CODIGOS!$E133)</f>
        <v>KG</v>
      </c>
      <c r="D134" s="452">
        <f>IF($A134="","",SUMIF(LUNES!$B:$B,$A134,LUNES!$D:$D))</f>
        <v>0</v>
      </c>
      <c r="E134" s="449">
        <f>IF($A134="","",SUMIF(MARTES!$B:$B,$A134,MARTES!$D:$D))</f>
        <v>0</v>
      </c>
      <c r="F134" s="449">
        <f>IF($A134="","",SUMIF(MIERCOLES!$B:$B,$A134,MIERCOLES!$D:$D))</f>
        <v>0</v>
      </c>
      <c r="G134" s="449">
        <f>IF($A134="","",SUMIF(JUEVES!$B:$B,$A134,JUEVES!$D:$D))</f>
        <v>0</v>
      </c>
      <c r="H134" s="449">
        <f>IF($A134="","",SUMIF(VIERNES!$B:$B,$A134,VIERNES!$D:$D))</f>
        <v>0</v>
      </c>
      <c r="I134" s="449">
        <f>IF($A134="","",SUMIF(SABADO!$B:$B,$A134,SABADO!$D:$D))</f>
        <v>0</v>
      </c>
      <c r="J134" s="459">
        <f>IF($A134="","",SUMIF(DOMINGO!$B:$B,$A134,DOMINGO!$D:$D))</f>
        <v>0</v>
      </c>
      <c r="K134" s="461">
        <f t="shared" si="4"/>
        <v>0</v>
      </c>
      <c r="L134" s="462">
        <f t="shared" si="5"/>
        <v>0</v>
      </c>
    </row>
    <row r="135" spans="1:12" x14ac:dyDescent="0.2">
      <c r="A135" s="456" t="str">
        <f>IF(CODIGOS!$A134="","",CODIGOS!$A134)</f>
        <v>C903005</v>
      </c>
      <c r="B135" s="443" t="str">
        <f>IF(CODIGOS!$B134="","",CODIGOS!$B134)</f>
        <v>PESCADO MERLUZA REBOSADA</v>
      </c>
      <c r="C135" s="457" t="str">
        <f>IF(CODIGOS!$E134="","",CODIGOS!$E134)</f>
        <v>KG</v>
      </c>
      <c r="D135" s="452">
        <f>IF($A135="","",SUMIF(LUNES!$B:$B,$A135,LUNES!$D:$D))</f>
        <v>0</v>
      </c>
      <c r="E135" s="449">
        <f>IF($A135="","",SUMIF(MARTES!$B:$B,$A135,MARTES!$D:$D))</f>
        <v>0</v>
      </c>
      <c r="F135" s="449">
        <f>IF($A135="","",SUMIF(MIERCOLES!$B:$B,$A135,MIERCOLES!$D:$D))</f>
        <v>34</v>
      </c>
      <c r="G135" s="449">
        <f>IF($A135="","",SUMIF(JUEVES!$B:$B,$A135,JUEVES!$D:$D))</f>
        <v>0</v>
      </c>
      <c r="H135" s="449">
        <f>IF($A135="","",SUMIF(VIERNES!$B:$B,$A135,VIERNES!$D:$D))</f>
        <v>0</v>
      </c>
      <c r="I135" s="449">
        <f>IF($A135="","",SUMIF(SABADO!$B:$B,$A135,SABADO!$D:$D))</f>
        <v>0</v>
      </c>
      <c r="J135" s="459">
        <f>IF($A135="","",SUMIF(DOMINGO!$B:$B,$A135,DOMINGO!$D:$D))</f>
        <v>0</v>
      </c>
      <c r="K135" s="461">
        <f t="shared" si="4"/>
        <v>34</v>
      </c>
      <c r="L135" s="462">
        <f t="shared" si="5"/>
        <v>136</v>
      </c>
    </row>
    <row r="136" spans="1:12" x14ac:dyDescent="0.2">
      <c r="A136" s="456" t="str">
        <f>IF(CODIGOS!$A135="","",CODIGOS!$A135)</f>
        <v>C903330</v>
      </c>
      <c r="B136" s="443" t="str">
        <f>IF(CODIGOS!$B135="","",CODIGOS!$B135)</f>
        <v>PESCADO MERLUZA AUSTRAL</v>
      </c>
      <c r="C136" s="457" t="str">
        <f>IF(CODIGOS!$E135="","",CODIGOS!$E135)</f>
        <v>KG</v>
      </c>
      <c r="D136" s="452">
        <f>IF($A136="","",SUMIF(LUNES!$B:$B,$A136,LUNES!$D:$D))</f>
        <v>0</v>
      </c>
      <c r="E136" s="449">
        <f>IF($A136="","",SUMIF(MARTES!$B:$B,$A136,MARTES!$D:$D))</f>
        <v>0</v>
      </c>
      <c r="F136" s="449">
        <f>IF($A136="","",SUMIF(MIERCOLES!$B:$B,$A136,MIERCOLES!$D:$D))</f>
        <v>0</v>
      </c>
      <c r="G136" s="449">
        <f>IF($A136="","",SUMIF(JUEVES!$B:$B,$A136,JUEVES!$D:$D))</f>
        <v>0</v>
      </c>
      <c r="H136" s="449">
        <f>IF($A136="","",SUMIF(VIERNES!$B:$B,$A136,VIERNES!$D:$D))</f>
        <v>0</v>
      </c>
      <c r="I136" s="449">
        <f>IF($A136="","",SUMIF(SABADO!$B:$B,$A136,SABADO!$D:$D))</f>
        <v>0</v>
      </c>
      <c r="J136" s="459">
        <f>IF($A136="","",SUMIF(DOMINGO!$B:$B,$A136,DOMINGO!$D:$D))</f>
        <v>0</v>
      </c>
      <c r="K136" s="461">
        <f t="shared" si="4"/>
        <v>0</v>
      </c>
      <c r="L136" s="462">
        <f t="shared" si="5"/>
        <v>0</v>
      </c>
    </row>
    <row r="137" spans="1:12" x14ac:dyDescent="0.2">
      <c r="A137" s="456" t="str">
        <f>IF(CODIGOS!$A136="","",CODIGOS!$A136)</f>
        <v>C902529</v>
      </c>
      <c r="B137" s="443" t="str">
        <f>IF(CODIGOS!$B136="","",CODIGOS!$B136)</f>
        <v>PESCADO MERLUZA COMUN</v>
      </c>
      <c r="C137" s="457" t="str">
        <f>IF(CODIGOS!$E136="","",CODIGOS!$E136)</f>
        <v>KG</v>
      </c>
      <c r="D137" s="452">
        <f>IF($A137="","",SUMIF(LUNES!$B:$B,$A137,LUNES!$D:$D))</f>
        <v>0</v>
      </c>
      <c r="E137" s="449">
        <f>IF($A137="","",SUMIF(MARTES!$B:$B,$A137,MARTES!$D:$D))</f>
        <v>0</v>
      </c>
      <c r="F137" s="449">
        <f>IF($A137="","",SUMIF(MIERCOLES!$B:$B,$A137,MIERCOLES!$D:$D))</f>
        <v>0</v>
      </c>
      <c r="G137" s="449">
        <f>IF($A137="","",SUMIF(JUEVES!$B:$B,$A137,JUEVES!$D:$D))</f>
        <v>0</v>
      </c>
      <c r="H137" s="449">
        <f>IF($A137="","",SUMIF(VIERNES!$B:$B,$A137,VIERNES!$D:$D))</f>
        <v>0</v>
      </c>
      <c r="I137" s="449">
        <f>IF($A137="","",SUMIF(SABADO!$B:$B,$A137,SABADO!$D:$D))</f>
        <v>0</v>
      </c>
      <c r="J137" s="459">
        <f>IF($A137="","",SUMIF(DOMINGO!$B:$B,$A137,DOMINGO!$D:$D))</f>
        <v>0</v>
      </c>
      <c r="K137" s="461">
        <f t="shared" si="4"/>
        <v>0</v>
      </c>
      <c r="L137" s="462">
        <f t="shared" si="5"/>
        <v>0</v>
      </c>
    </row>
    <row r="138" spans="1:12" x14ac:dyDescent="0.2">
      <c r="A138" s="456" t="str">
        <f>IF(CODIGOS!$A137="","",CODIGOS!$A137)</f>
        <v>C000087</v>
      </c>
      <c r="B138" s="443" t="str">
        <f>IF(CODIGOS!$B137="","",CODIGOS!$B137)</f>
        <v>PESCADO REINETA</v>
      </c>
      <c r="C138" s="457" t="str">
        <f>IF(CODIGOS!$E137="","",CODIGOS!$E137)</f>
        <v>KG</v>
      </c>
      <c r="D138" s="452">
        <f>IF($A138="","",SUMIF(LUNES!$B:$B,$A138,LUNES!$D:$D))</f>
        <v>0</v>
      </c>
      <c r="E138" s="449">
        <f>IF($A138="","",SUMIF(MARTES!$B:$B,$A138,MARTES!$D:$D))</f>
        <v>0</v>
      </c>
      <c r="F138" s="449">
        <f>IF($A138="","",SUMIF(MIERCOLES!$B:$B,$A138,MIERCOLES!$D:$D))</f>
        <v>0</v>
      </c>
      <c r="G138" s="449">
        <f>IF($A138="","",SUMIF(JUEVES!$B:$B,$A138,JUEVES!$D:$D))</f>
        <v>0</v>
      </c>
      <c r="H138" s="449">
        <f>IF($A138="","",SUMIF(VIERNES!$B:$B,$A138,VIERNES!$D:$D))</f>
        <v>0</v>
      </c>
      <c r="I138" s="449">
        <f>IF($A138="","",SUMIF(SABADO!$B:$B,$A138,SABADO!$D:$D))</f>
        <v>0</v>
      </c>
      <c r="J138" s="459">
        <f>IF($A138="","",SUMIF(DOMINGO!$B:$B,$A138,DOMINGO!$D:$D))</f>
        <v>0</v>
      </c>
      <c r="K138" s="461">
        <f t="shared" si="4"/>
        <v>0</v>
      </c>
      <c r="L138" s="462">
        <f t="shared" si="5"/>
        <v>0</v>
      </c>
    </row>
    <row r="139" spans="1:12" x14ac:dyDescent="0.2">
      <c r="A139" s="456" t="str">
        <f>IF(CODIGOS!$A138="","",CODIGOS!$A138)</f>
        <v>C902735</v>
      </c>
      <c r="B139" s="443" t="str">
        <f>IF(CODIGOS!$B138="","",CODIGOS!$B138)</f>
        <v>PESCADO SALMON CONGELADO</v>
      </c>
      <c r="C139" s="457" t="str">
        <f>IF(CODIGOS!$E138="","",CODIGOS!$E138)</f>
        <v>KG</v>
      </c>
      <c r="D139" s="452">
        <f>IF($A139="","",SUMIF(LUNES!$B:$B,$A139,LUNES!$D:$D))</f>
        <v>0</v>
      </c>
      <c r="E139" s="449">
        <f>IF($A139="","",SUMIF(MARTES!$B:$B,$A139,MARTES!$D:$D))</f>
        <v>0</v>
      </c>
      <c r="F139" s="449">
        <f>IF($A139="","",SUMIF(MIERCOLES!$B:$B,$A139,MIERCOLES!$D:$D))</f>
        <v>0</v>
      </c>
      <c r="G139" s="449">
        <f>IF($A139="","",SUMIF(JUEVES!$B:$B,$A139,JUEVES!$D:$D))</f>
        <v>0</v>
      </c>
      <c r="H139" s="449">
        <f>IF($A139="","",SUMIF(VIERNES!$B:$B,$A139,VIERNES!$D:$D))</f>
        <v>0</v>
      </c>
      <c r="I139" s="449">
        <f>IF($A139="","",SUMIF(SABADO!$B:$B,$A139,SABADO!$D:$D))</f>
        <v>0</v>
      </c>
      <c r="J139" s="459">
        <f>IF($A139="","",SUMIF(DOMINGO!$B:$B,$A139,DOMINGO!$D:$D))</f>
        <v>0</v>
      </c>
      <c r="K139" s="461">
        <f t="shared" si="4"/>
        <v>0</v>
      </c>
      <c r="L139" s="462">
        <f t="shared" si="5"/>
        <v>0</v>
      </c>
    </row>
    <row r="140" spans="1:12" x14ac:dyDescent="0.2">
      <c r="A140" s="456" t="str">
        <f>IF(CODIGOS!$A139="","",CODIGOS!$A139)</f>
        <v>V000233</v>
      </c>
      <c r="B140" s="443" t="str">
        <f>IF(CODIGOS!$B139="","",CODIGOS!$B139)</f>
        <v>PESTO</v>
      </c>
      <c r="C140" s="457" t="str">
        <f>IF(CODIGOS!$E139="","",CODIGOS!$E139)</f>
        <v>KG</v>
      </c>
      <c r="D140" s="452">
        <f>IF($A140="","",SUMIF(LUNES!$B:$B,$A140,LUNES!$D:$D))</f>
        <v>0</v>
      </c>
      <c r="E140" s="449">
        <f>IF($A140="","",SUMIF(MARTES!$B:$B,$A140,MARTES!$D:$D))</f>
        <v>0</v>
      </c>
      <c r="F140" s="449">
        <f>IF($A140="","",SUMIF(MIERCOLES!$B:$B,$A140,MIERCOLES!$D:$D))</f>
        <v>0</v>
      </c>
      <c r="G140" s="449">
        <f>IF($A140="","",SUMIF(JUEVES!$B:$B,$A140,JUEVES!$D:$D))</f>
        <v>0</v>
      </c>
      <c r="H140" s="449">
        <f>IF($A140="","",SUMIF(VIERNES!$B:$B,$A140,VIERNES!$D:$D))</f>
        <v>0</v>
      </c>
      <c r="I140" s="449">
        <f>IF($A140="","",SUMIF(SABADO!$B:$B,$A140,SABADO!$D:$D))</f>
        <v>0</v>
      </c>
      <c r="J140" s="459">
        <f>IF($A140="","",SUMIF(DOMINGO!$B:$B,$A140,DOMINGO!$D:$D))</f>
        <v>0</v>
      </c>
      <c r="K140" s="461">
        <f t="shared" si="4"/>
        <v>0</v>
      </c>
      <c r="L140" s="462">
        <f t="shared" si="5"/>
        <v>0</v>
      </c>
    </row>
    <row r="141" spans="1:12" x14ac:dyDescent="0.2">
      <c r="A141" s="456" t="str">
        <f>IF(CODIGOS!$A140="","",CODIGOS!$A140)</f>
        <v>V000236</v>
      </c>
      <c r="B141" s="443" t="str">
        <f>IF(CODIGOS!$B140="","",CODIGOS!$B140)</f>
        <v>PIMENTÓN NATURAL</v>
      </c>
      <c r="C141" s="457" t="str">
        <f>IF(CODIGOS!$E140="","",CODIGOS!$E140)</f>
        <v>NR (130 g)</v>
      </c>
      <c r="D141" s="452">
        <f>IF($A141="","",SUMIF(LUNES!$B:$B,$A141,LUNES!$D:$D))</f>
        <v>0</v>
      </c>
      <c r="E141" s="449">
        <f>IF($A141="","",SUMIF(MARTES!$B:$B,$A141,MARTES!$D:$D))</f>
        <v>0</v>
      </c>
      <c r="F141" s="449">
        <f>IF($A141="","",SUMIF(MIERCOLES!$B:$B,$A141,MIERCOLES!$D:$D))</f>
        <v>0</v>
      </c>
      <c r="G141" s="449">
        <f>IF($A141="","",SUMIF(JUEVES!$B:$B,$A141,JUEVES!$D:$D))</f>
        <v>0</v>
      </c>
      <c r="H141" s="449">
        <f>IF($A141="","",SUMIF(VIERNES!$B:$B,$A141,VIERNES!$D:$D))</f>
        <v>0</v>
      </c>
      <c r="I141" s="449">
        <f>IF($A141="","",SUMIF(SABADO!$B:$B,$A141,SABADO!$D:$D))</f>
        <v>0</v>
      </c>
      <c r="J141" s="459">
        <f>IF($A141="","",SUMIF(DOMINGO!$B:$B,$A141,DOMINGO!$D:$D))</f>
        <v>0</v>
      </c>
      <c r="K141" s="461">
        <f t="shared" si="4"/>
        <v>0</v>
      </c>
      <c r="L141" s="462">
        <f t="shared" si="5"/>
        <v>0</v>
      </c>
    </row>
    <row r="142" spans="1:12" x14ac:dyDescent="0.2">
      <c r="A142" s="456" t="str">
        <f>IF(CODIGOS!$A141="","",CODIGOS!$A141)</f>
        <v>V000764</v>
      </c>
      <c r="B142" s="443" t="str">
        <f>IF(CODIGOS!$B141="","",CODIGOS!$B141)</f>
        <v>PIMIENTA NEGRA</v>
      </c>
      <c r="C142" s="457" t="str">
        <f>IF(CODIGOS!$E141="","",CODIGOS!$E141)</f>
        <v>KG</v>
      </c>
      <c r="D142" s="452">
        <f>IF($A142="","",SUMIF(LUNES!$B:$B,$A142,LUNES!$D:$D))</f>
        <v>0</v>
      </c>
      <c r="E142" s="449">
        <f>IF($A142="","",SUMIF(MARTES!$B:$B,$A142,MARTES!$D:$D))</f>
        <v>0</v>
      </c>
      <c r="F142" s="449">
        <f>IF($A142="","",SUMIF(MIERCOLES!$B:$B,$A142,MIERCOLES!$D:$D))</f>
        <v>0</v>
      </c>
      <c r="G142" s="449">
        <f>IF($A142="","",SUMIF(JUEVES!$B:$B,$A142,JUEVES!$D:$D))</f>
        <v>0</v>
      </c>
      <c r="H142" s="449">
        <f>IF($A142="","",SUMIF(VIERNES!$B:$B,$A142,VIERNES!$D:$D))</f>
        <v>0.1</v>
      </c>
      <c r="I142" s="449">
        <f>IF($A142="","",SUMIF(SABADO!$B:$B,$A142,SABADO!$D:$D))</f>
        <v>0</v>
      </c>
      <c r="J142" s="459">
        <f>IF($A142="","",SUMIF(DOMINGO!$B:$B,$A142,DOMINGO!$D:$D))</f>
        <v>0</v>
      </c>
      <c r="K142" s="461">
        <f t="shared" si="4"/>
        <v>0.1</v>
      </c>
      <c r="L142" s="462">
        <f t="shared" si="5"/>
        <v>0.4</v>
      </c>
    </row>
    <row r="143" spans="1:12" x14ac:dyDescent="0.2">
      <c r="A143" s="456" t="str">
        <f>IF(CODIGOS!$A142="","",CODIGOS!$A142)</f>
        <v>C903237</v>
      </c>
      <c r="B143" s="443" t="str">
        <f>IF(CODIGOS!$B142="","",CODIGOS!$B142)</f>
        <v>PIÑA EN CONSERVA</v>
      </c>
      <c r="C143" s="457" t="str">
        <f>IF(CODIGOS!$E142="","",CODIGOS!$E142)</f>
        <v>GL 3 KG</v>
      </c>
      <c r="D143" s="452">
        <f>IF($A143="","",SUMIF(LUNES!$B:$B,$A143,LUNES!$D:$D))</f>
        <v>0</v>
      </c>
      <c r="E143" s="449">
        <f>IF($A143="","",SUMIF(MARTES!$B:$B,$A143,MARTES!$D:$D))</f>
        <v>0</v>
      </c>
      <c r="F143" s="449">
        <f>IF($A143="","",SUMIF(MIERCOLES!$B:$B,$A143,MIERCOLES!$D:$D))</f>
        <v>0</v>
      </c>
      <c r="G143" s="449">
        <f>IF($A143="","",SUMIF(JUEVES!$B:$B,$A143,JUEVES!$D:$D))</f>
        <v>0</v>
      </c>
      <c r="H143" s="449">
        <f>IF($A143="","",SUMIF(VIERNES!$B:$B,$A143,VIERNES!$D:$D))</f>
        <v>0</v>
      </c>
      <c r="I143" s="449">
        <f>IF($A143="","",SUMIF(SABADO!$B:$B,$A143,SABADO!$D:$D))</f>
        <v>0</v>
      </c>
      <c r="J143" s="459">
        <f>IF($A143="","",SUMIF(DOMINGO!$B:$B,$A143,DOMINGO!$D:$D))</f>
        <v>0</v>
      </c>
      <c r="K143" s="461">
        <f t="shared" si="4"/>
        <v>0</v>
      </c>
      <c r="L143" s="462">
        <f t="shared" si="5"/>
        <v>0</v>
      </c>
    </row>
    <row r="144" spans="1:12" x14ac:dyDescent="0.2">
      <c r="A144" s="456" t="str">
        <f>IF(CODIGOS!$A143="","",CODIGOS!$A143)</f>
        <v>V000244</v>
      </c>
      <c r="B144" s="443" t="str">
        <f>IF(CODIGOS!$B143="","",CODIGOS!$B143)</f>
        <v>PLATANOS</v>
      </c>
      <c r="C144" s="457" t="str">
        <f>IF(CODIGOS!$E143="","",CODIGOS!$E143)</f>
        <v>KG</v>
      </c>
      <c r="D144" s="452">
        <f>IF($A144="","",SUMIF(LUNES!$B:$B,$A144,LUNES!$D:$D))</f>
        <v>0</v>
      </c>
      <c r="E144" s="449">
        <f>IF($A144="","",SUMIF(MARTES!$B:$B,$A144,MARTES!$D:$D))</f>
        <v>0</v>
      </c>
      <c r="F144" s="449">
        <f>IF($A144="","",SUMIF(MIERCOLES!$B:$B,$A144,MIERCOLES!$D:$D))</f>
        <v>0</v>
      </c>
      <c r="G144" s="449">
        <f>IF($A144="","",SUMIF(JUEVES!$B:$B,$A144,JUEVES!$D:$D))</f>
        <v>9.6</v>
      </c>
      <c r="H144" s="449">
        <f>IF($A144="","",SUMIF(VIERNES!$B:$B,$A144,VIERNES!$D:$D))</f>
        <v>0</v>
      </c>
      <c r="I144" s="449">
        <f>IF($A144="","",SUMIF(SABADO!$B:$B,$A144,SABADO!$D:$D))</f>
        <v>0</v>
      </c>
      <c r="J144" s="459">
        <f>IF($A144="","",SUMIF(DOMINGO!$B:$B,$A144,DOMINGO!$D:$D))</f>
        <v>0</v>
      </c>
      <c r="K144" s="461">
        <f t="shared" si="4"/>
        <v>9.6</v>
      </c>
      <c r="L144" s="462">
        <f t="shared" si="5"/>
        <v>38.4</v>
      </c>
    </row>
    <row r="145" spans="1:12" x14ac:dyDescent="0.2">
      <c r="A145" s="456" t="str">
        <f>IF(CODIGOS!$A144="","",CODIGOS!$A144)</f>
        <v>C903329</v>
      </c>
      <c r="B145" s="443" t="str">
        <f>IF(CODIGOS!$B144="","",CODIGOS!$B144)</f>
        <v>POLLO PECHUGA DESHUESADA</v>
      </c>
      <c r="C145" s="457" t="str">
        <f>IF(CODIGOS!$E144="","",CODIGOS!$E144)</f>
        <v>KG</v>
      </c>
      <c r="D145" s="452">
        <f>IF($A145="","",SUMIF(LUNES!$B:$B,$A145,LUNES!$D:$D))</f>
        <v>0</v>
      </c>
      <c r="E145" s="449">
        <f>IF($A145="","",SUMIF(MARTES!$B:$B,$A145,MARTES!$D:$D))</f>
        <v>0</v>
      </c>
      <c r="F145" s="449">
        <f>IF($A145="","",SUMIF(MIERCOLES!$B:$B,$A145,MIERCOLES!$D:$D))</f>
        <v>0</v>
      </c>
      <c r="G145" s="449">
        <f>IF($A145="","",SUMIF(JUEVES!$B:$B,$A145,JUEVES!$D:$D))</f>
        <v>0</v>
      </c>
      <c r="H145" s="449">
        <f>IF($A145="","",SUMIF(VIERNES!$B:$B,$A145,VIERNES!$D:$D))</f>
        <v>0</v>
      </c>
      <c r="I145" s="449">
        <f>IF($A145="","",SUMIF(SABADO!$B:$B,$A145,SABADO!$D:$D))</f>
        <v>0</v>
      </c>
      <c r="J145" s="459">
        <f>IF($A145="","",SUMIF(DOMINGO!$B:$B,$A145,DOMINGO!$D:$D))</f>
        <v>0</v>
      </c>
      <c r="K145" s="461">
        <f t="shared" si="4"/>
        <v>0</v>
      </c>
      <c r="L145" s="462">
        <f t="shared" si="5"/>
        <v>0</v>
      </c>
    </row>
    <row r="146" spans="1:12" x14ac:dyDescent="0.2">
      <c r="A146" s="456" t="str">
        <f>IF(CODIGOS!$A146="","",CODIGOS!$A146)</f>
        <v>C008043</v>
      </c>
      <c r="B146" s="443" t="str">
        <f>IF(CODIGOS!$B146="","",CODIGOS!$B146)</f>
        <v>POLLO PECHUGA ENTERA</v>
      </c>
      <c r="C146" s="457" t="str">
        <f>IF(CODIGOS!$E146="","",CODIGOS!$E146)</f>
        <v>KG</v>
      </c>
      <c r="D146" s="452">
        <f>IF($A146="","",SUMIF(LUNES!$B:$B,$A146,LUNES!$D:$D))</f>
        <v>0</v>
      </c>
      <c r="E146" s="449">
        <f>IF($A146="","",SUMIF(MARTES!$B:$B,$A146,MARTES!$D:$D))</f>
        <v>0</v>
      </c>
      <c r="F146" s="449">
        <f>IF($A146="","",SUMIF(MIERCOLES!$B:$B,$A146,MIERCOLES!$D:$D))</f>
        <v>0</v>
      </c>
      <c r="G146" s="449">
        <f>IF($A146="","",SUMIF(JUEVES!$B:$B,$A146,JUEVES!$D:$D))</f>
        <v>0</v>
      </c>
      <c r="H146" s="449">
        <f>IF($A146="","",SUMIF(VIERNES!$B:$B,$A146,VIERNES!$D:$D))</f>
        <v>0</v>
      </c>
      <c r="I146" s="449">
        <f>IF($A146="","",SUMIF(SABADO!$B:$B,$A146,SABADO!$D:$D))</f>
        <v>0</v>
      </c>
      <c r="J146" s="459">
        <f>IF($A146="","",SUMIF(DOMINGO!$B:$B,$A146,DOMINGO!$D:$D))</f>
        <v>0</v>
      </c>
      <c r="K146" s="461">
        <f t="shared" si="4"/>
        <v>0</v>
      </c>
      <c r="L146" s="462">
        <f t="shared" si="5"/>
        <v>0</v>
      </c>
    </row>
    <row r="147" spans="1:12" x14ac:dyDescent="0.2">
      <c r="A147" s="456" t="str">
        <f>IF(CODIGOS!$A147="","",CODIGOS!$A147)</f>
        <v>C008044</v>
      </c>
      <c r="B147" s="443" t="str">
        <f>IF(CODIGOS!$B147="","",CODIGOS!$B147)</f>
        <v>POLLO TRUTRO CORTO</v>
      </c>
      <c r="C147" s="457" t="str">
        <f>IF(CODIGOS!$E147="","",CODIGOS!$E147)</f>
        <v>KG</v>
      </c>
      <c r="D147" s="452">
        <f>IF($A147="","",SUMIF(LUNES!$B:$B,$A147,LUNES!$D:$D))</f>
        <v>0</v>
      </c>
      <c r="E147" s="449">
        <f>IF($A147="","",SUMIF(MARTES!$B:$B,$A147,MARTES!$D:$D))</f>
        <v>0</v>
      </c>
      <c r="F147" s="449">
        <f>IF($A147="","",SUMIF(MIERCOLES!$B:$B,$A147,MIERCOLES!$D:$D))</f>
        <v>0</v>
      </c>
      <c r="G147" s="449">
        <f>IF($A147="","",SUMIF(JUEVES!$B:$B,$A147,JUEVES!$D:$D))</f>
        <v>0</v>
      </c>
      <c r="H147" s="449">
        <f>IF($A147="","",SUMIF(VIERNES!$B:$B,$A147,VIERNES!$D:$D))</f>
        <v>0</v>
      </c>
      <c r="I147" s="449">
        <f>IF($A147="","",SUMIF(SABADO!$B:$B,$A147,SABADO!$D:$D))</f>
        <v>0</v>
      </c>
      <c r="J147" s="459">
        <f>IF($A147="","",SUMIF(DOMINGO!$B:$B,$A147,DOMINGO!$D:$D))</f>
        <v>0</v>
      </c>
      <c r="K147" s="461">
        <f t="shared" si="4"/>
        <v>0</v>
      </c>
      <c r="L147" s="462">
        <f t="shared" si="5"/>
        <v>0</v>
      </c>
    </row>
    <row r="148" spans="1:12" x14ac:dyDescent="0.2">
      <c r="A148" s="456" t="str">
        <f>IF(CODIGOS!$A148="","",CODIGOS!$A148)</f>
        <v>C902736</v>
      </c>
      <c r="B148" s="443" t="str">
        <f>IF(CODIGOS!$B148="","",CODIGOS!$B148)</f>
        <v>POLLO TRUTRO ENTERO</v>
      </c>
      <c r="C148" s="457" t="str">
        <f>IF(CODIGOS!$E148="","",CODIGOS!$E148)</f>
        <v>KG</v>
      </c>
      <c r="D148" s="452">
        <f>IF($A148="","",SUMIF(LUNES!$B:$B,$A148,LUNES!$D:$D))</f>
        <v>0</v>
      </c>
      <c r="E148" s="449">
        <f>IF($A148="","",SUMIF(MARTES!$B:$B,$A148,MARTES!$D:$D))</f>
        <v>0</v>
      </c>
      <c r="F148" s="449">
        <f>IF($A148="","",SUMIF(MIERCOLES!$B:$B,$A148,MIERCOLES!$D:$D))</f>
        <v>0</v>
      </c>
      <c r="G148" s="449">
        <f>IF($A148="","",SUMIF(JUEVES!$B:$B,$A148,JUEVES!$D:$D))</f>
        <v>0</v>
      </c>
      <c r="H148" s="449">
        <f>IF($A148="","",SUMIF(VIERNES!$B:$B,$A148,VIERNES!$D:$D))</f>
        <v>0</v>
      </c>
      <c r="I148" s="449">
        <f>IF($A148="","",SUMIF(SABADO!$B:$B,$A148,SABADO!$D:$D))</f>
        <v>0</v>
      </c>
      <c r="J148" s="459">
        <f>IF($A148="","",SUMIF(DOMINGO!$B:$B,$A148,DOMINGO!$D:$D))</f>
        <v>0</v>
      </c>
      <c r="K148" s="461">
        <f t="shared" si="4"/>
        <v>0</v>
      </c>
      <c r="L148" s="462">
        <f t="shared" si="5"/>
        <v>0</v>
      </c>
    </row>
    <row r="149" spans="1:12" x14ac:dyDescent="0.2">
      <c r="A149" s="456" t="str">
        <f>IF(CODIGOS!$A150="","",CODIGOS!$A150)</f>
        <v>V000246</v>
      </c>
      <c r="B149" s="443" t="str">
        <f>IF(CODIGOS!$B150="","",CODIGOS!$B150)</f>
        <v>POLVO DE HORNEAR TA</v>
      </c>
      <c r="C149" s="457" t="str">
        <f>IF(CODIGOS!$E150="","",CODIGOS!$E150)</f>
        <v>TA (750 g)</v>
      </c>
      <c r="D149" s="452">
        <f>IF($A149="","",SUMIF(LUNES!$B:$B,$A149,LUNES!$D:$D))</f>
        <v>0</v>
      </c>
      <c r="E149" s="449">
        <f>IF($A149="","",SUMIF(MARTES!$B:$B,$A149,MARTES!$D:$D))</f>
        <v>0</v>
      </c>
      <c r="F149" s="449">
        <f>IF($A149="","",SUMIF(MIERCOLES!$B:$B,$A149,MIERCOLES!$D:$D))</f>
        <v>0</v>
      </c>
      <c r="G149" s="449">
        <f>IF($A149="","",SUMIF(JUEVES!$B:$B,$A149,JUEVES!$D:$D))</f>
        <v>0</v>
      </c>
      <c r="H149" s="449">
        <f>IF($A149="","",SUMIF(VIERNES!$B:$B,$A149,VIERNES!$D:$D))</f>
        <v>0</v>
      </c>
      <c r="I149" s="449">
        <f>IF($A149="","",SUMIF(SABADO!$B:$B,$A149,SABADO!$D:$D))</f>
        <v>0</v>
      </c>
      <c r="J149" s="459">
        <f>IF($A149="","",SUMIF(DOMINGO!$B:$B,$A149,DOMINGO!$D:$D))</f>
        <v>0</v>
      </c>
      <c r="K149" s="461">
        <f t="shared" si="4"/>
        <v>0</v>
      </c>
      <c r="L149" s="462">
        <f t="shared" si="5"/>
        <v>0</v>
      </c>
    </row>
    <row r="150" spans="1:12" x14ac:dyDescent="0.2">
      <c r="A150" s="456" t="str">
        <f>IF(CODIGOS!$A151="","",CODIGOS!$A151)</f>
        <v>V000254</v>
      </c>
      <c r="B150" s="443" t="str">
        <f>IF(CODIGOS!$B151="","",CODIGOS!$B151)</f>
        <v>POROTOS VERDES CONGELADOS</v>
      </c>
      <c r="C150" s="457" t="str">
        <f>IF(CODIGOS!$E151="","",CODIGOS!$E151)</f>
        <v>KG</v>
      </c>
      <c r="D150" s="452">
        <f>IF($A150="","",SUMIF(LUNES!$B:$B,$A150,LUNES!$D:$D))</f>
        <v>0</v>
      </c>
      <c r="E150" s="449">
        <f>IF($A150="","",SUMIF(MARTES!$B:$B,$A150,MARTES!$D:$D))</f>
        <v>0</v>
      </c>
      <c r="F150" s="449">
        <f>IF($A150="","",SUMIF(MIERCOLES!$B:$B,$A150,MIERCOLES!$D:$D))</f>
        <v>0</v>
      </c>
      <c r="G150" s="449">
        <f>IF($A150="","",SUMIF(JUEVES!$B:$B,$A150,JUEVES!$D:$D))</f>
        <v>3.2</v>
      </c>
      <c r="H150" s="449">
        <f>IF($A150="","",SUMIF(VIERNES!$B:$B,$A150,VIERNES!$D:$D))</f>
        <v>0</v>
      </c>
      <c r="I150" s="449">
        <f>IF($A150="","",SUMIF(SABADO!$B:$B,$A150,SABADO!$D:$D))</f>
        <v>0</v>
      </c>
      <c r="J150" s="459">
        <f>IF($A150="","",SUMIF(DOMINGO!$B:$B,$A150,DOMINGO!$D:$D))</f>
        <v>0</v>
      </c>
      <c r="K150" s="461">
        <f t="shared" si="4"/>
        <v>3.2</v>
      </c>
      <c r="L150" s="462">
        <f t="shared" si="5"/>
        <v>12.8</v>
      </c>
    </row>
    <row r="151" spans="1:12" x14ac:dyDescent="0.2">
      <c r="A151" s="456" t="str">
        <f>IF(CODIGOS!$A152="","",CODIGOS!$A152)</f>
        <v>C903498</v>
      </c>
      <c r="B151" s="443" t="str">
        <f>IF(CODIGOS!$B152="","",CODIGOS!$B152)</f>
        <v>POROTOS NEGROS</v>
      </c>
      <c r="C151" s="457" t="str">
        <f>IF(CODIGOS!$E152="","",CODIGOS!$E152)</f>
        <v>KG</v>
      </c>
      <c r="D151" s="452">
        <f>IF($A151="","",SUMIF(LUNES!$B:$B,$A151,LUNES!$D:$D))</f>
        <v>0</v>
      </c>
      <c r="E151" s="449">
        <f>IF($A151="","",SUMIF(MARTES!$B:$B,$A151,MARTES!$D:$D))</f>
        <v>0</v>
      </c>
      <c r="F151" s="449">
        <f>IF($A151="","",SUMIF(MIERCOLES!$B:$B,$A151,MIERCOLES!$D:$D))</f>
        <v>0</v>
      </c>
      <c r="G151" s="449">
        <f>IF($A151="","",SUMIF(JUEVES!$B:$B,$A151,JUEVES!$D:$D))</f>
        <v>0</v>
      </c>
      <c r="H151" s="449">
        <f>IF($A151="","",SUMIF(VIERNES!$B:$B,$A151,VIERNES!$D:$D))</f>
        <v>0</v>
      </c>
      <c r="I151" s="449">
        <f>IF($A151="","",SUMIF(SABADO!$B:$B,$A151,SABADO!$D:$D))</f>
        <v>1.6</v>
      </c>
      <c r="J151" s="459">
        <f>IF($A151="","",SUMIF(DOMINGO!$B:$B,$A151,DOMINGO!$D:$D))</f>
        <v>0</v>
      </c>
      <c r="K151" s="461">
        <f t="shared" si="4"/>
        <v>1.6</v>
      </c>
      <c r="L151" s="462">
        <f t="shared" si="5"/>
        <v>6.4</v>
      </c>
    </row>
    <row r="152" spans="1:12" x14ac:dyDescent="0.2">
      <c r="A152" s="456" t="str">
        <f>IF(CODIGOS!$A153="","",CODIGOS!$A153)</f>
        <v>C902854</v>
      </c>
      <c r="B152" s="443" t="str">
        <f>IF(CODIGOS!$B153="","",CODIGOS!$B153)</f>
        <v>POSTRE GELATINA EN POLVO FRAMBUESA</v>
      </c>
      <c r="C152" s="457" t="str">
        <f>IF(CODIGOS!$E153="","",CODIGOS!$E153)</f>
        <v>KG</v>
      </c>
      <c r="D152" s="452">
        <f>IF($A152="","",SUMIF(LUNES!$B:$B,$A152,LUNES!$D:$D))</f>
        <v>1.1200000000000001</v>
      </c>
      <c r="E152" s="449">
        <f>IF($A152="","",SUMIF(MARTES!$B:$B,$A152,MARTES!$D:$D))</f>
        <v>0</v>
      </c>
      <c r="F152" s="449">
        <f>IF($A152="","",SUMIF(MIERCOLES!$B:$B,$A152,MIERCOLES!$D:$D))</f>
        <v>2.8</v>
      </c>
      <c r="G152" s="449">
        <f>IF($A152="","",SUMIF(JUEVES!$B:$B,$A152,JUEVES!$D:$D))</f>
        <v>1.1200000000000001</v>
      </c>
      <c r="H152" s="449">
        <f>IF($A152="","",SUMIF(VIERNES!$B:$B,$A152,VIERNES!$D:$D))</f>
        <v>2.8</v>
      </c>
      <c r="I152" s="449">
        <f>IF($A152="","",SUMIF(SABADO!$B:$B,$A152,SABADO!$D:$D))</f>
        <v>1.1200000000000001</v>
      </c>
      <c r="J152" s="459">
        <f>IF($A152="","",SUMIF(DOMINGO!$B:$B,$A152,DOMINGO!$D:$D))</f>
        <v>0</v>
      </c>
      <c r="K152" s="461">
        <f t="shared" si="4"/>
        <v>8.9600000000000009</v>
      </c>
      <c r="L152" s="462">
        <f t="shared" si="5"/>
        <v>35.840000000000003</v>
      </c>
    </row>
    <row r="153" spans="1:12" x14ac:dyDescent="0.2">
      <c r="A153" s="456" t="str">
        <f>IF(CODIGOS!$A154="","",CODIGOS!$A154)</f>
        <v>C902855</v>
      </c>
      <c r="B153" s="443" t="str">
        <f>IF(CODIGOS!$B154="","",CODIGOS!$B154)</f>
        <v>POSTRE GELATINA EN POLVO NARANJA</v>
      </c>
      <c r="C153" s="457" t="str">
        <f>IF(CODIGOS!$E154="","",CODIGOS!$E154)</f>
        <v>KG</v>
      </c>
      <c r="D153" s="452">
        <f>IF($A153="","",SUMIF(LUNES!$B:$B,$A153,LUNES!$D:$D))</f>
        <v>0</v>
      </c>
      <c r="E153" s="449">
        <f>IF($A153="","",SUMIF(MARTES!$B:$B,$A153,MARTES!$D:$D))</f>
        <v>1.1200000000000001</v>
      </c>
      <c r="F153" s="449">
        <f>IF($A153="","",SUMIF(MIERCOLES!$B:$B,$A153,MIERCOLES!$D:$D))</f>
        <v>0</v>
      </c>
      <c r="G153" s="449">
        <f>IF($A153="","",SUMIF(JUEVES!$B:$B,$A153,JUEVES!$D:$D))</f>
        <v>0</v>
      </c>
      <c r="H153" s="449">
        <f>IF($A153="","",SUMIF(VIERNES!$B:$B,$A153,VIERNES!$D:$D))</f>
        <v>0</v>
      </c>
      <c r="I153" s="449">
        <f>IF($A153="","",SUMIF(SABADO!$B:$B,$A153,SABADO!$D:$D))</f>
        <v>0</v>
      </c>
      <c r="J153" s="459">
        <f>IF($A153="","",SUMIF(DOMINGO!$B:$B,$A153,DOMINGO!$D:$D))</f>
        <v>1.1200000000000001</v>
      </c>
      <c r="K153" s="461">
        <f t="shared" si="4"/>
        <v>2.2400000000000002</v>
      </c>
      <c r="L153" s="462">
        <f t="shared" si="5"/>
        <v>8.9600000000000009</v>
      </c>
    </row>
    <row r="154" spans="1:12" x14ac:dyDescent="0.2">
      <c r="A154" s="456" t="str">
        <f>IF(CODIGOS!$A155="","",CODIGOS!$A155)</f>
        <v>C903265</v>
      </c>
      <c r="B154" s="443" t="str">
        <f>IF(CODIGOS!$B155="","",CODIGOS!$B155)</f>
        <v>POUCH CERDO</v>
      </c>
      <c r="C154" s="457" t="str">
        <f>IF(CODIGOS!$E155="","",CODIGOS!$E155)</f>
        <v>KG</v>
      </c>
      <c r="D154" s="452">
        <f>IF($A154="","",SUMIF(LUNES!$B:$B,$A154,LUNES!$D:$D))</f>
        <v>0</v>
      </c>
      <c r="E154" s="449">
        <f>IF($A154="","",SUMIF(MARTES!$B:$B,$A154,MARTES!$D:$D))</f>
        <v>0</v>
      </c>
      <c r="F154" s="449">
        <f>IF($A154="","",SUMIF(MIERCOLES!$B:$B,$A154,MIERCOLES!$D:$D))</f>
        <v>0</v>
      </c>
      <c r="G154" s="449">
        <f>IF($A154="","",SUMIF(JUEVES!$B:$B,$A154,JUEVES!$D:$D))</f>
        <v>0</v>
      </c>
      <c r="H154" s="449">
        <f>IF($A154="","",SUMIF(VIERNES!$B:$B,$A154,VIERNES!$D:$D))</f>
        <v>0</v>
      </c>
      <c r="I154" s="449">
        <f>IF($A154="","",SUMIF(SABADO!$B:$B,$A154,SABADO!$D:$D))</f>
        <v>0</v>
      </c>
      <c r="J154" s="459">
        <f>IF($A154="","",SUMIF(DOMINGO!$B:$B,$A154,DOMINGO!$D:$D))</f>
        <v>0</v>
      </c>
      <c r="K154" s="461">
        <f t="shared" si="4"/>
        <v>0</v>
      </c>
      <c r="L154" s="462">
        <f t="shared" si="5"/>
        <v>0</v>
      </c>
    </row>
    <row r="155" spans="1:12" x14ac:dyDescent="0.2">
      <c r="A155" s="456" t="str">
        <f>IF(CODIGOS!$A156="","",CODIGOS!$A156)</f>
        <v>C903266</v>
      </c>
      <c r="B155" s="443" t="str">
        <f>IF(CODIGOS!$B156="","",CODIGOS!$B156)</f>
        <v>POUCH MOLIDA VACUNO</v>
      </c>
      <c r="C155" s="457" t="str">
        <f>IF(CODIGOS!$E156="","",CODIGOS!$E156)</f>
        <v>KG</v>
      </c>
      <c r="D155" s="452">
        <f>IF($A155="","",SUMIF(LUNES!$B:$B,$A155,LUNES!$D:$D))</f>
        <v>0</v>
      </c>
      <c r="E155" s="449">
        <f>IF($A155="","",SUMIF(MARTES!$B:$B,$A155,MARTES!$D:$D))</f>
        <v>0</v>
      </c>
      <c r="F155" s="449">
        <f>IF($A155="","",SUMIF(MIERCOLES!$B:$B,$A155,MIERCOLES!$D:$D))</f>
        <v>0</v>
      </c>
      <c r="G155" s="449">
        <f>IF($A155="","",SUMIF(JUEVES!$B:$B,$A155,JUEVES!$D:$D))</f>
        <v>0</v>
      </c>
      <c r="H155" s="449">
        <f>IF($A155="","",SUMIF(VIERNES!$B:$B,$A155,VIERNES!$D:$D))</f>
        <v>0</v>
      </c>
      <c r="I155" s="449">
        <f>IF($A155="","",SUMIF(SABADO!$B:$B,$A155,SABADO!$D:$D))</f>
        <v>0</v>
      </c>
      <c r="J155" s="459">
        <f>IF($A155="","",SUMIF(DOMINGO!$B:$B,$A155,DOMINGO!$D:$D))</f>
        <v>0</v>
      </c>
      <c r="K155" s="461">
        <f t="shared" si="4"/>
        <v>0</v>
      </c>
      <c r="L155" s="462">
        <f t="shared" si="5"/>
        <v>0</v>
      </c>
    </row>
    <row r="156" spans="1:12" x14ac:dyDescent="0.2">
      <c r="A156" s="456" t="str">
        <f>IF(CODIGOS!$A157="","",CODIGOS!$A157)</f>
        <v>C903264</v>
      </c>
      <c r="B156" s="443" t="str">
        <f>IF(CODIGOS!$B157="","",CODIGOS!$B157)</f>
        <v>POUCH POLLO</v>
      </c>
      <c r="C156" s="457" t="str">
        <f>IF(CODIGOS!$E157="","",CODIGOS!$E157)</f>
        <v>KG</v>
      </c>
      <c r="D156" s="452">
        <f>IF($A156="","",SUMIF(LUNES!$B:$B,$A156,LUNES!$D:$D))</f>
        <v>0</v>
      </c>
      <c r="E156" s="449">
        <f>IF($A156="","",SUMIF(MARTES!$B:$B,$A156,MARTES!$D:$D))</f>
        <v>0</v>
      </c>
      <c r="F156" s="449">
        <f>IF($A156="","",SUMIF(MIERCOLES!$B:$B,$A156,MIERCOLES!$D:$D))</f>
        <v>0</v>
      </c>
      <c r="G156" s="449">
        <f>IF($A156="","",SUMIF(JUEVES!$B:$B,$A156,JUEVES!$D:$D))</f>
        <v>0</v>
      </c>
      <c r="H156" s="449">
        <f>IF($A156="","",SUMIF(VIERNES!$B:$B,$A156,VIERNES!$D:$D))</f>
        <v>0</v>
      </c>
      <c r="I156" s="449">
        <f>IF($A156="","",SUMIF(SABADO!$B:$B,$A156,SABADO!$D:$D))</f>
        <v>0</v>
      </c>
      <c r="J156" s="459">
        <f>IF($A156="","",SUMIF(DOMINGO!$B:$B,$A156,DOMINGO!$D:$D))</f>
        <v>0</v>
      </c>
      <c r="K156" s="461">
        <f t="shared" si="4"/>
        <v>0</v>
      </c>
      <c r="L156" s="462">
        <f t="shared" si="5"/>
        <v>0</v>
      </c>
    </row>
    <row r="157" spans="1:12" x14ac:dyDescent="0.2">
      <c r="A157" s="456" t="str">
        <f>IF(CODIGOS!$A158="","",CODIGOS!$A158)</f>
        <v>C903267</v>
      </c>
      <c r="B157" s="443" t="str">
        <f>IF(CODIGOS!$B158="","",CODIGOS!$B158)</f>
        <v>POUCH VACUNO CUBO</v>
      </c>
      <c r="C157" s="457" t="str">
        <f>IF(CODIGOS!$E158="","",CODIGOS!$E158)</f>
        <v>KG</v>
      </c>
      <c r="D157" s="452">
        <f>IF($A157="","",SUMIF(LUNES!$B:$B,$A157,LUNES!$D:$D))</f>
        <v>0</v>
      </c>
      <c r="E157" s="449">
        <f>IF($A157="","",SUMIF(MARTES!$B:$B,$A157,MARTES!$D:$D))</f>
        <v>0</v>
      </c>
      <c r="F157" s="449">
        <f>IF($A157="","",SUMIF(MIERCOLES!$B:$B,$A157,MIERCOLES!$D:$D))</f>
        <v>0</v>
      </c>
      <c r="G157" s="449">
        <f>IF($A157="","",SUMIF(JUEVES!$B:$B,$A157,JUEVES!$D:$D))</f>
        <v>0</v>
      </c>
      <c r="H157" s="449">
        <f>IF($A157="","",SUMIF(VIERNES!$B:$B,$A157,VIERNES!$D:$D))</f>
        <v>0</v>
      </c>
      <c r="I157" s="449">
        <f>IF($A157="","",SUMIF(SABADO!$B:$B,$A157,SABADO!$D:$D))</f>
        <v>0</v>
      </c>
      <c r="J157" s="459">
        <f>IF($A157="","",SUMIF(DOMINGO!$B:$B,$A157,DOMINGO!$D:$D))</f>
        <v>0</v>
      </c>
      <c r="K157" s="461">
        <f t="shared" si="4"/>
        <v>0</v>
      </c>
      <c r="L157" s="462">
        <f t="shared" si="5"/>
        <v>0</v>
      </c>
    </row>
    <row r="158" spans="1:12" x14ac:dyDescent="0.2">
      <c r="A158" s="456" t="str">
        <f>IF(CODIGOS!$A159="","",CODIGOS!$A159)</f>
        <v>C902685</v>
      </c>
      <c r="B158" s="443" t="str">
        <f>IF(CODIGOS!$B159="","",CODIGOS!$B159)</f>
        <v>PRIMAVERA CONGELADA KGS.</v>
      </c>
      <c r="C158" s="457" t="str">
        <f>IF(CODIGOS!$E159="","",CODIGOS!$E159)</f>
        <v>KG</v>
      </c>
      <c r="D158" s="452">
        <f>IF($A158="","",SUMIF(LUNES!$B:$B,$A158,LUNES!$D:$D))</f>
        <v>0</v>
      </c>
      <c r="E158" s="449">
        <f>IF($A158="","",SUMIF(MARTES!$B:$B,$A158,MARTES!$D:$D))</f>
        <v>4.8</v>
      </c>
      <c r="F158" s="449">
        <f>IF($A158="","",SUMIF(MIERCOLES!$B:$B,$A158,MIERCOLES!$D:$D))</f>
        <v>0</v>
      </c>
      <c r="G158" s="449">
        <f>IF($A158="","",SUMIF(JUEVES!$B:$B,$A158,JUEVES!$D:$D))</f>
        <v>2</v>
      </c>
      <c r="H158" s="449">
        <f>IF($A158="","",SUMIF(VIERNES!$B:$B,$A158,VIERNES!$D:$D))</f>
        <v>0</v>
      </c>
      <c r="I158" s="449">
        <f>IF($A158="","",SUMIF(SABADO!$B:$B,$A158,SABADO!$D:$D))</f>
        <v>0</v>
      </c>
      <c r="J158" s="459">
        <f>IF($A158="","",SUMIF(DOMINGO!$B:$B,$A158,DOMINGO!$D:$D))</f>
        <v>0</v>
      </c>
      <c r="K158" s="461">
        <f t="shared" si="4"/>
        <v>6.8</v>
      </c>
      <c r="L158" s="462">
        <f t="shared" si="5"/>
        <v>27.2</v>
      </c>
    </row>
    <row r="159" spans="1:12" x14ac:dyDescent="0.2">
      <c r="A159" s="456" t="str">
        <f>IF(CODIGOS!$A160="","",CODIGOS!$A160)</f>
        <v>C902418</v>
      </c>
      <c r="B159" s="443" t="str">
        <f>IF(CODIGOS!$B160="","",CODIGOS!$B160)</f>
        <v>PURE DE PAPAS INTANTANEO</v>
      </c>
      <c r="C159" s="457" t="str">
        <f>IF(CODIGOS!$E160="","",CODIGOS!$E160)</f>
        <v>KG</v>
      </c>
      <c r="D159" s="452">
        <f>IF($A159="","",SUMIF(LUNES!$B:$B,$A159,LUNES!$D:$D))</f>
        <v>0</v>
      </c>
      <c r="E159" s="449">
        <f>IF($A159="","",SUMIF(MARTES!$B:$B,$A159,MARTES!$D:$D))</f>
        <v>0</v>
      </c>
      <c r="F159" s="449">
        <f>IF($A159="","",SUMIF(MIERCOLES!$B:$B,$A159,MIERCOLES!$D:$D))</f>
        <v>10</v>
      </c>
      <c r="G159" s="449">
        <f>IF($A159="","",SUMIF(JUEVES!$B:$B,$A159,JUEVES!$D:$D))</f>
        <v>0</v>
      </c>
      <c r="H159" s="449">
        <f>IF($A159="","",SUMIF(VIERNES!$B:$B,$A159,VIERNES!$D:$D))</f>
        <v>0</v>
      </c>
      <c r="I159" s="449">
        <f>IF($A159="","",SUMIF(SABADO!$B:$B,$A159,SABADO!$D:$D))</f>
        <v>0</v>
      </c>
      <c r="J159" s="459">
        <f>IF($A159="","",SUMIF(DOMINGO!$B:$B,$A159,DOMINGO!$D:$D))</f>
        <v>0</v>
      </c>
      <c r="K159" s="461">
        <f t="shared" si="4"/>
        <v>10</v>
      </c>
      <c r="L159" s="462">
        <f t="shared" si="5"/>
        <v>40</v>
      </c>
    </row>
    <row r="160" spans="1:12" x14ac:dyDescent="0.2">
      <c r="A160" s="456" t="str">
        <f>IF(CODIGOS!$A161="","",CODIGOS!$A161)</f>
        <v>V000262</v>
      </c>
      <c r="B160" s="443" t="str">
        <f>IF(CODIGOS!$B161="","",CODIGOS!$B161)</f>
        <v>QUESILLO</v>
      </c>
      <c r="C160" s="457" t="str">
        <f>IF(CODIGOS!$E161="","",CODIGOS!$E161)</f>
        <v>NR (320 g)</v>
      </c>
      <c r="D160" s="452">
        <f>IF($A160="","",SUMIF(LUNES!$B:$B,$A160,LUNES!$D:$D))</f>
        <v>0</v>
      </c>
      <c r="E160" s="449">
        <f>IF($A160="","",SUMIF(MARTES!$B:$B,$A160,MARTES!$D:$D))</f>
        <v>0</v>
      </c>
      <c r="F160" s="449">
        <f>IF($A160="","",SUMIF(MIERCOLES!$B:$B,$A160,MIERCOLES!$D:$D))</f>
        <v>0</v>
      </c>
      <c r="G160" s="449">
        <f>IF($A160="","",SUMIF(JUEVES!$B:$B,$A160,JUEVES!$D:$D))</f>
        <v>0</v>
      </c>
      <c r="H160" s="449">
        <f>IF($A160="","",SUMIF(VIERNES!$B:$B,$A160,VIERNES!$D:$D))</f>
        <v>0</v>
      </c>
      <c r="I160" s="449">
        <f>IF($A160="","",SUMIF(SABADO!$B:$B,$A160,SABADO!$D:$D))</f>
        <v>0</v>
      </c>
      <c r="J160" s="459">
        <f>IF($A160="","",SUMIF(DOMINGO!$B:$B,$A160,DOMINGO!$D:$D))</f>
        <v>3.2</v>
      </c>
      <c r="K160" s="461">
        <f t="shared" si="4"/>
        <v>3.2</v>
      </c>
      <c r="L160" s="462">
        <f t="shared" si="5"/>
        <v>12.8</v>
      </c>
    </row>
    <row r="161" spans="1:12" x14ac:dyDescent="0.2">
      <c r="A161" s="456" t="str">
        <f>IF(CODIGOS!$A162="","",CODIGOS!$A162)</f>
        <v>V000272</v>
      </c>
      <c r="B161" s="443" t="str">
        <f>IF(CODIGOS!$B162="","",CODIGOS!$B162)</f>
        <v>QUESO GAUDA LAMINADO</v>
      </c>
      <c r="C161" s="457" t="str">
        <f>IF(CODIGOS!$E162="","",CODIGOS!$E162)</f>
        <v>KG</v>
      </c>
      <c r="D161" s="452">
        <f>IF($A161="","",SUMIF(LUNES!$B:$B,$A161,LUNES!$D:$D))</f>
        <v>0</v>
      </c>
      <c r="E161" s="449">
        <f>IF($A161="","",SUMIF(MARTES!$B:$B,$A161,MARTES!$D:$D))</f>
        <v>0</v>
      </c>
      <c r="F161" s="449">
        <f>IF($A161="","",SUMIF(MIERCOLES!$B:$B,$A161,MIERCOLES!$D:$D))</f>
        <v>0</v>
      </c>
      <c r="G161" s="449">
        <f>IF($A161="","",SUMIF(JUEVES!$B:$B,$A161,JUEVES!$D:$D))</f>
        <v>0</v>
      </c>
      <c r="H161" s="449">
        <f>IF($A161="","",SUMIF(VIERNES!$B:$B,$A161,VIERNES!$D:$D))</f>
        <v>0.8</v>
      </c>
      <c r="I161" s="449">
        <f>IF($A161="","",SUMIF(SABADO!$B:$B,$A161,SABADO!$D:$D))</f>
        <v>0</v>
      </c>
      <c r="J161" s="459">
        <f>IF($A161="","",SUMIF(DOMINGO!$B:$B,$A161,DOMINGO!$D:$D))</f>
        <v>0</v>
      </c>
      <c r="K161" s="461">
        <f t="shared" si="4"/>
        <v>0.8</v>
      </c>
      <c r="L161" s="462">
        <f t="shared" si="5"/>
        <v>3.2</v>
      </c>
    </row>
    <row r="162" spans="1:12" x14ac:dyDescent="0.2">
      <c r="A162" s="456" t="str">
        <f>IF(CODIGOS!$A163="","",CODIGOS!$A163)</f>
        <v>V000277</v>
      </c>
      <c r="B162" s="443" t="str">
        <f>IF(CODIGOS!$B163="","",CODIGOS!$B163)</f>
        <v>QUESO RALLADO</v>
      </c>
      <c r="C162" s="457" t="str">
        <f>IF(CODIGOS!$E163="","",CODIGOS!$E163)</f>
        <v>PQ. (80 g)</v>
      </c>
      <c r="D162" s="452">
        <f>IF($A162="","",SUMIF(LUNES!$B:$B,$A162,LUNES!$D:$D))</f>
        <v>0</v>
      </c>
      <c r="E162" s="449">
        <f>IF($A162="","",SUMIF(MARTES!$B:$B,$A162,MARTES!$D:$D))</f>
        <v>0</v>
      </c>
      <c r="F162" s="449">
        <f>IF($A162="","",SUMIF(MIERCOLES!$B:$B,$A162,MIERCOLES!$D:$D))</f>
        <v>0</v>
      </c>
      <c r="G162" s="449">
        <f>IF($A162="","",SUMIF(JUEVES!$B:$B,$A162,JUEVES!$D:$D))</f>
        <v>0</v>
      </c>
      <c r="H162" s="449">
        <f>IF($A162="","",SUMIF(VIERNES!$B:$B,$A162,VIERNES!$D:$D))</f>
        <v>0</v>
      </c>
      <c r="I162" s="449">
        <f>IF($A162="","",SUMIF(SABADO!$B:$B,$A162,SABADO!$D:$D))</f>
        <v>0</v>
      </c>
      <c r="J162" s="459">
        <f>IF($A162="","",SUMIF(DOMINGO!$B:$B,$A162,DOMINGO!$D:$D))</f>
        <v>0</v>
      </c>
      <c r="K162" s="461">
        <f t="shared" si="4"/>
        <v>0</v>
      </c>
      <c r="L162" s="462">
        <f t="shared" si="5"/>
        <v>0</v>
      </c>
    </row>
    <row r="163" spans="1:12" x14ac:dyDescent="0.2">
      <c r="A163" s="456" t="str">
        <f>IF(CODIGOS!$A164="","",CODIGOS!$A164)</f>
        <v>C903331</v>
      </c>
      <c r="B163" s="443" t="str">
        <f>IF(CODIGOS!$B164="","",CODIGOS!$B164)</f>
        <v>QUINOA 400 GRS.</v>
      </c>
      <c r="C163" s="457" t="str">
        <f>IF(CODIGOS!$E164="","",CODIGOS!$E164)</f>
        <v>BOLSA 400 G</v>
      </c>
      <c r="D163" s="452">
        <f>IF($A163="","",SUMIF(LUNES!$B:$B,$A163,LUNES!$D:$D))</f>
        <v>0</v>
      </c>
      <c r="E163" s="449">
        <f>IF($A163="","",SUMIF(MARTES!$B:$B,$A163,MARTES!$D:$D))</f>
        <v>0</v>
      </c>
      <c r="F163" s="449">
        <f>IF($A163="","",SUMIF(MIERCOLES!$B:$B,$A163,MIERCOLES!$D:$D))</f>
        <v>0</v>
      </c>
      <c r="G163" s="449">
        <f>IF($A163="","",SUMIF(JUEVES!$B:$B,$A163,JUEVES!$D:$D))</f>
        <v>0</v>
      </c>
      <c r="H163" s="449">
        <f>IF($A163="","",SUMIF(VIERNES!$B:$B,$A163,VIERNES!$D:$D))</f>
        <v>0</v>
      </c>
      <c r="I163" s="449">
        <f>IF($A163="","",SUMIF(SABADO!$B:$B,$A163,SABADO!$D:$D))</f>
        <v>0</v>
      </c>
      <c r="J163" s="459">
        <f>IF($A163="","",SUMIF(DOMINGO!$B:$B,$A163,DOMINGO!$D:$D))</f>
        <v>0</v>
      </c>
      <c r="K163" s="461">
        <f t="shared" si="4"/>
        <v>0</v>
      </c>
      <c r="L163" s="462">
        <f t="shared" si="5"/>
        <v>0</v>
      </c>
    </row>
    <row r="164" spans="1:12" x14ac:dyDescent="0.2">
      <c r="A164" s="456" t="str">
        <f>IF(CODIGOS!$A165="","",CODIGOS!$A165)</f>
        <v>C902857</v>
      </c>
      <c r="B164" s="443" t="str">
        <f>IF(CODIGOS!$B165="","",CODIGOS!$B165)</f>
        <v>REFRESCO FRAMBUESA</v>
      </c>
      <c r="C164" s="457" t="str">
        <f>IF(CODIGOS!$E165="","",CODIGOS!$E165)</f>
        <v>KG</v>
      </c>
      <c r="D164" s="452">
        <f>IF($A164="","",SUMIF(LUNES!$B:$B,$A164,LUNES!$D:$D))</f>
        <v>0.48</v>
      </c>
      <c r="E164" s="449">
        <f>IF($A164="","",SUMIF(MARTES!$B:$B,$A164,MARTES!$D:$D))</f>
        <v>0</v>
      </c>
      <c r="F164" s="449">
        <f>IF($A164="","",SUMIF(MIERCOLES!$B:$B,$A164,MIERCOLES!$D:$D))</f>
        <v>1.2</v>
      </c>
      <c r="G164" s="449">
        <f>IF($A164="","",SUMIF(JUEVES!$B:$B,$A164,JUEVES!$D:$D))</f>
        <v>0.48</v>
      </c>
      <c r="H164" s="449">
        <f>IF($A164="","",SUMIF(VIERNES!$B:$B,$A164,VIERNES!$D:$D))</f>
        <v>1.2</v>
      </c>
      <c r="I164" s="449">
        <f>IF($A164="","",SUMIF(SABADO!$B:$B,$A164,SABADO!$D:$D))</f>
        <v>0.48</v>
      </c>
      <c r="J164" s="459">
        <f>IF($A164="","",SUMIF(DOMINGO!$B:$B,$A164,DOMINGO!$D:$D))</f>
        <v>0.48</v>
      </c>
      <c r="K164" s="461">
        <f t="shared" si="4"/>
        <v>4.32</v>
      </c>
      <c r="L164" s="462">
        <f t="shared" si="5"/>
        <v>17.28</v>
      </c>
    </row>
    <row r="165" spans="1:12" x14ac:dyDescent="0.2">
      <c r="A165" s="456" t="str">
        <f>IF(CODIGOS!$A166="","",CODIGOS!$A166)</f>
        <v>C902859</v>
      </c>
      <c r="B165" s="443" t="str">
        <f>IF(CODIGOS!$B166="","",CODIGOS!$B166)</f>
        <v>REFRESCO NARANJA</v>
      </c>
      <c r="C165" s="457" t="str">
        <f>IF(CODIGOS!$E166="","",CODIGOS!$E166)</f>
        <v>KG</v>
      </c>
      <c r="D165" s="452">
        <f>IF($A165="","",SUMIF(LUNES!$B:$B,$A165,LUNES!$D:$D))</f>
        <v>1.2</v>
      </c>
      <c r="E165" s="449">
        <f>IF($A165="","",SUMIF(MARTES!$B:$B,$A165,MARTES!$D:$D))</f>
        <v>1.68</v>
      </c>
      <c r="F165" s="449">
        <f>IF($A165="","",SUMIF(MIERCOLES!$B:$B,$A165,MIERCOLES!$D:$D))</f>
        <v>0.48</v>
      </c>
      <c r="G165" s="449">
        <f>IF($A165="","",SUMIF(JUEVES!$B:$B,$A165,JUEVES!$D:$D))</f>
        <v>1.2</v>
      </c>
      <c r="H165" s="449">
        <f>IF($A165="","",SUMIF(VIERNES!$B:$B,$A165,VIERNES!$D:$D))</f>
        <v>0.48</v>
      </c>
      <c r="I165" s="449">
        <f>IF($A165="","",SUMIF(SABADO!$B:$B,$A165,SABADO!$D:$D))</f>
        <v>0.48</v>
      </c>
      <c r="J165" s="459">
        <f>IF($A165="","",SUMIF(DOMINGO!$B:$B,$A165,DOMINGO!$D:$D))</f>
        <v>0.48</v>
      </c>
      <c r="K165" s="461">
        <f t="shared" si="4"/>
        <v>6</v>
      </c>
      <c r="L165" s="462">
        <f t="shared" si="5"/>
        <v>24</v>
      </c>
    </row>
    <row r="166" spans="1:12" x14ac:dyDescent="0.2">
      <c r="A166" s="456" t="str">
        <f>IF(CODIGOS!$A167="","",CODIGOS!$A167)</f>
        <v>C902860</v>
      </c>
      <c r="B166" s="443" t="str">
        <f>IF(CODIGOS!$B167="","",CODIGOS!$B167)</f>
        <v>REFRESCO PIÑA</v>
      </c>
      <c r="C166" s="457" t="str">
        <f>IF(CODIGOS!$E167="","",CODIGOS!$E167)</f>
        <v>KG</v>
      </c>
      <c r="D166" s="452">
        <f>IF($A166="","",SUMIF(LUNES!$B:$B,$A166,LUNES!$D:$D))</f>
        <v>0</v>
      </c>
      <c r="E166" s="449">
        <f>IF($A166="","",SUMIF(MARTES!$B:$B,$A166,MARTES!$D:$D))</f>
        <v>0</v>
      </c>
      <c r="F166" s="449">
        <f>IF($A166="","",SUMIF(MIERCOLES!$B:$B,$A166,MIERCOLES!$D:$D))</f>
        <v>0</v>
      </c>
      <c r="G166" s="449">
        <f>IF($A166="","",SUMIF(JUEVES!$B:$B,$A166,JUEVES!$D:$D))</f>
        <v>0</v>
      </c>
      <c r="H166" s="449">
        <f>IF($A166="","",SUMIF(VIERNES!$B:$B,$A166,VIERNES!$D:$D))</f>
        <v>0</v>
      </c>
      <c r="I166" s="449">
        <f>IF($A166="","",SUMIF(SABADO!$B:$B,$A166,SABADO!$D:$D))</f>
        <v>0</v>
      </c>
      <c r="J166" s="459">
        <f>IF($A166="","",SUMIF(DOMINGO!$B:$B,$A166,DOMINGO!$D:$D))</f>
        <v>0</v>
      </c>
      <c r="K166" s="461">
        <f t="shared" si="4"/>
        <v>0</v>
      </c>
      <c r="L166" s="462">
        <f t="shared" si="5"/>
        <v>0</v>
      </c>
    </row>
    <row r="167" spans="1:12" x14ac:dyDescent="0.2">
      <c r="A167" s="456" t="str">
        <f>IF(CODIGOS!$A168="","",CODIGOS!$A168)</f>
        <v>V000283</v>
      </c>
      <c r="B167" s="443" t="str">
        <f>IF(CODIGOS!$B168="","",CODIGOS!$B168)</f>
        <v>REPOLLOS</v>
      </c>
      <c r="C167" s="457" t="str">
        <f>IF(CODIGOS!$E168="","",CODIGOS!$E168)</f>
        <v>NR</v>
      </c>
      <c r="D167" s="452">
        <f>IF($A167="","",SUMIF(LUNES!$B:$B,$A167,LUNES!$D:$D))</f>
        <v>0</v>
      </c>
      <c r="E167" s="449">
        <f>IF($A167="","",SUMIF(MARTES!$B:$B,$A167,MARTES!$D:$D))</f>
        <v>0</v>
      </c>
      <c r="F167" s="449">
        <f>IF($A167="","",SUMIF(MIERCOLES!$B:$B,$A167,MIERCOLES!$D:$D))</f>
        <v>0</v>
      </c>
      <c r="G167" s="449">
        <f>IF($A167="","",SUMIF(JUEVES!$B:$B,$A167,JUEVES!$D:$D))</f>
        <v>0</v>
      </c>
      <c r="H167" s="449">
        <f>IF($A167="","",SUMIF(VIERNES!$B:$B,$A167,VIERNES!$D:$D))</f>
        <v>0</v>
      </c>
      <c r="I167" s="449">
        <f>IF($A167="","",SUMIF(SABADO!$B:$B,$A167,SABADO!$D:$D))</f>
        <v>0</v>
      </c>
      <c r="J167" s="459">
        <f>IF($A167="","",SUMIF(DOMINGO!$B:$B,$A167,DOMINGO!$D:$D))</f>
        <v>0</v>
      </c>
      <c r="K167" s="461">
        <f t="shared" si="4"/>
        <v>0</v>
      </c>
      <c r="L167" s="462">
        <f t="shared" si="5"/>
        <v>0</v>
      </c>
    </row>
    <row r="168" spans="1:12" x14ac:dyDescent="0.2">
      <c r="A168" s="456" t="str">
        <f>IF(CODIGOS!$A169="","",CODIGOS!$A169)</f>
        <v>C000528</v>
      </c>
      <c r="B168" s="443" t="str">
        <f>IF(CODIGOS!$B169="","",CODIGOS!$B169)</f>
        <v>SAL</v>
      </c>
      <c r="C168" s="457" t="str">
        <f>IF(CODIGOS!$E169="","",CODIGOS!$E169)</f>
        <v>KG</v>
      </c>
      <c r="D168" s="452">
        <f>IF($A168="","",SUMIF(LUNES!$B:$B,$A168,LUNES!$D:$D))</f>
        <v>0.44000000000000006</v>
      </c>
      <c r="E168" s="449">
        <f>IF($A168="","",SUMIF(MARTES!$B:$B,$A168,MARTES!$D:$D))</f>
        <v>0.48</v>
      </c>
      <c r="F168" s="449">
        <f>IF($A168="","",SUMIF(MIERCOLES!$B:$B,$A168,MIERCOLES!$D:$D))</f>
        <v>0.57999999999999996</v>
      </c>
      <c r="G168" s="449">
        <f>IF($A168="","",SUMIF(JUEVES!$B:$B,$A168,JUEVES!$D:$D))</f>
        <v>0.54</v>
      </c>
      <c r="H168" s="449">
        <f>IF($A168="","",SUMIF(VIERNES!$B:$B,$A168,VIERNES!$D:$D))</f>
        <v>0.44000000000000006</v>
      </c>
      <c r="I168" s="449">
        <f>IF($A168="","",SUMIF(SABADO!$B:$B,$A168,SABADO!$D:$D))</f>
        <v>0.32</v>
      </c>
      <c r="J168" s="459">
        <f>IF($A168="","",SUMIF(DOMINGO!$B:$B,$A168,DOMINGO!$D:$D))</f>
        <v>0.32</v>
      </c>
      <c r="K168" s="461">
        <f t="shared" si="4"/>
        <v>3.1199999999999997</v>
      </c>
      <c r="L168" s="462">
        <f t="shared" si="5"/>
        <v>12.479999999999999</v>
      </c>
    </row>
    <row r="169" spans="1:12" x14ac:dyDescent="0.2">
      <c r="A169" s="456" t="str">
        <f>IF(CODIGOS!$A170="","",CODIGOS!$A170)</f>
        <v>C902764</v>
      </c>
      <c r="B169" s="443" t="str">
        <f>IF(CODIGOS!$B170="","",CODIGOS!$B170)</f>
        <v>SALSA CONCENTRADA DE TOMATE CON SOYA</v>
      </c>
      <c r="C169" s="457" t="str">
        <f>IF(CODIGOS!$E170="","",CODIGOS!$E170)</f>
        <v>GL 3 KG</v>
      </c>
      <c r="D169" s="452">
        <f>IF($A169="","",SUMIF(LUNES!$B:$B,$A169,LUNES!$D:$D))</f>
        <v>0</v>
      </c>
      <c r="E169" s="449">
        <f>IF($A169="","",SUMIF(MARTES!$B:$B,$A169,MARTES!$D:$D))</f>
        <v>0</v>
      </c>
      <c r="F169" s="449">
        <f>IF($A169="","",SUMIF(MIERCOLES!$B:$B,$A169,MIERCOLES!$D:$D))</f>
        <v>0</v>
      </c>
      <c r="G169" s="449">
        <f>IF($A169="","",SUMIF(JUEVES!$B:$B,$A169,JUEVES!$D:$D))</f>
        <v>0</v>
      </c>
      <c r="H169" s="449">
        <f>IF($A169="","",SUMIF(VIERNES!$B:$B,$A169,VIERNES!$D:$D))</f>
        <v>0</v>
      </c>
      <c r="I169" s="449">
        <f>IF($A169="","",SUMIF(SABADO!$B:$B,$A169,SABADO!$D:$D))</f>
        <v>0</v>
      </c>
      <c r="J169" s="459">
        <f>IF($A169="","",SUMIF(DOMINGO!$B:$B,$A169,DOMINGO!$D:$D))</f>
        <v>0</v>
      </c>
      <c r="K169" s="461">
        <f t="shared" si="4"/>
        <v>0</v>
      </c>
      <c r="L169" s="462">
        <f t="shared" si="5"/>
        <v>0</v>
      </c>
    </row>
    <row r="170" spans="1:12" x14ac:dyDescent="0.2">
      <c r="A170" s="456" t="str">
        <f>IF(CODIGOS!$A171="","",CODIGOS!$A171)</f>
        <v>C902533</v>
      </c>
      <c r="B170" s="443" t="str">
        <f>IF(CODIGOS!$B171="","",CODIGOS!$B171)</f>
        <v>SALSA DE TOMATES</v>
      </c>
      <c r="C170" s="457" t="str">
        <f>IF(CODIGOS!$E171="","",CODIGOS!$E171)</f>
        <v>200 gr</v>
      </c>
      <c r="D170" s="452">
        <f>IF($A170="","",SUMIF(LUNES!$B:$B,$A170,LUNES!$D:$D))</f>
        <v>0</v>
      </c>
      <c r="E170" s="449">
        <f>IF($A170="","",SUMIF(MARTES!$B:$B,$A170,MARTES!$D:$D))</f>
        <v>0</v>
      </c>
      <c r="F170" s="449">
        <f>IF($A170="","",SUMIF(MIERCOLES!$B:$B,$A170,MIERCOLES!$D:$D))</f>
        <v>0</v>
      </c>
      <c r="G170" s="449">
        <f>IF($A170="","",SUMIF(JUEVES!$B:$B,$A170,JUEVES!$D:$D))</f>
        <v>0</v>
      </c>
      <c r="H170" s="449">
        <f>IF($A170="","",SUMIF(VIERNES!$B:$B,$A170,VIERNES!$D:$D))</f>
        <v>0</v>
      </c>
      <c r="I170" s="449">
        <f>IF($A170="","",SUMIF(SABADO!$B:$B,$A170,SABADO!$D:$D))</f>
        <v>0</v>
      </c>
      <c r="J170" s="459">
        <f>IF($A170="","",SUMIF(DOMINGO!$B:$B,$A170,DOMINGO!$D:$D))</f>
        <v>0</v>
      </c>
      <c r="K170" s="461">
        <f t="shared" si="4"/>
        <v>0</v>
      </c>
      <c r="L170" s="462">
        <f t="shared" si="5"/>
        <v>0</v>
      </c>
    </row>
    <row r="171" spans="1:12" x14ac:dyDescent="0.2">
      <c r="A171" s="456" t="str">
        <f>IF(CODIGOS!$A172="","",CODIGOS!$A172)</f>
        <v>V000300</v>
      </c>
      <c r="B171" s="443" t="str">
        <f>IF(CODIGOS!$B172="","",CODIGOS!$B172)</f>
        <v>SALSA SOYA</v>
      </c>
      <c r="C171" s="457" t="str">
        <f>IF(CODIGOS!$E172="","",CODIGOS!$E172)</f>
        <v>BT 500 cc</v>
      </c>
      <c r="D171" s="452">
        <f>IF($A171="","",SUMIF(LUNES!$B:$B,$A171,LUNES!$D:$D))</f>
        <v>0</v>
      </c>
      <c r="E171" s="449">
        <f>IF($A171="","",SUMIF(MARTES!$B:$B,$A171,MARTES!$D:$D))</f>
        <v>0</v>
      </c>
      <c r="F171" s="449">
        <f>IF($A171="","",SUMIF(MIERCOLES!$B:$B,$A171,MIERCOLES!$D:$D))</f>
        <v>0.24</v>
      </c>
      <c r="G171" s="449">
        <f>IF($A171="","",SUMIF(JUEVES!$B:$B,$A171,JUEVES!$D:$D))</f>
        <v>0</v>
      </c>
      <c r="H171" s="449">
        <f>IF($A171="","",SUMIF(VIERNES!$B:$B,$A171,VIERNES!$D:$D))</f>
        <v>0</v>
      </c>
      <c r="I171" s="449">
        <f>IF($A171="","",SUMIF(SABADO!$B:$B,$A171,SABADO!$D:$D))</f>
        <v>0</v>
      </c>
      <c r="J171" s="459">
        <f>IF($A171="","",SUMIF(DOMINGO!$B:$B,$A171,DOMINGO!$D:$D))</f>
        <v>0</v>
      </c>
      <c r="K171" s="461">
        <f t="shared" si="4"/>
        <v>0.24</v>
      </c>
      <c r="L171" s="462">
        <f t="shared" si="5"/>
        <v>0.96</v>
      </c>
    </row>
    <row r="172" spans="1:12" x14ac:dyDescent="0.2">
      <c r="A172" s="456" t="str">
        <f>IF(CODIGOS!$A173="","",CODIGOS!$A173)</f>
        <v>V000301</v>
      </c>
      <c r="B172" s="443" t="str">
        <f>IF(CODIGOS!$B173="","",CODIGOS!$B173)</f>
        <v>SANDIA NATURAL</v>
      </c>
      <c r="C172" s="457" t="str">
        <f>IF(CODIGOS!$E173="","",CODIGOS!$E173)</f>
        <v>NR</v>
      </c>
      <c r="D172" s="452">
        <f>IF($A172="","",SUMIF(LUNES!$B:$B,$A172,LUNES!$D:$D))</f>
        <v>0</v>
      </c>
      <c r="E172" s="449">
        <f>IF($A172="","",SUMIF(MARTES!$B:$B,$A172,MARTES!$D:$D))</f>
        <v>0</v>
      </c>
      <c r="F172" s="449">
        <f>IF($A172="","",SUMIF(MIERCOLES!$B:$B,$A172,MIERCOLES!$D:$D))</f>
        <v>0</v>
      </c>
      <c r="G172" s="449">
        <f>IF($A172="","",SUMIF(JUEVES!$B:$B,$A172,JUEVES!$D:$D))</f>
        <v>0</v>
      </c>
      <c r="H172" s="449">
        <f>IF($A172="","",SUMIF(VIERNES!$B:$B,$A172,VIERNES!$D:$D))</f>
        <v>0</v>
      </c>
      <c r="I172" s="449">
        <f>IF($A172="","",SUMIF(SABADO!$B:$B,$A172,SABADO!$D:$D))</f>
        <v>0</v>
      </c>
      <c r="J172" s="459">
        <f>IF($A172="","",SUMIF(DOMINGO!$B:$B,$A172,DOMINGO!$D:$D))</f>
        <v>0</v>
      </c>
      <c r="K172" s="461">
        <f t="shared" si="4"/>
        <v>0</v>
      </c>
      <c r="L172" s="462">
        <f t="shared" si="5"/>
        <v>0</v>
      </c>
    </row>
    <row r="173" spans="1:12" x14ac:dyDescent="0.2">
      <c r="A173" s="456" t="str">
        <f>IF(CODIGOS!$A174="","",CODIGOS!$A174)</f>
        <v>V000305</v>
      </c>
      <c r="B173" s="443" t="str">
        <f>IF(CODIGOS!$B174="","",CODIGOS!$B174)</f>
        <v>SEMOLA KG</v>
      </c>
      <c r="C173" s="457" t="str">
        <f>IF(CODIGOS!$E174="","",CODIGOS!$E174)</f>
        <v>KG</v>
      </c>
      <c r="D173" s="452">
        <f>IF($A173="","",SUMIF(LUNES!$B:$B,$A173,LUNES!$D:$D))</f>
        <v>1</v>
      </c>
      <c r="E173" s="449">
        <f>IF($A173="","",SUMIF(MARTES!$B:$B,$A173,MARTES!$D:$D))</f>
        <v>0</v>
      </c>
      <c r="F173" s="449">
        <f>IF($A173="","",SUMIF(MIERCOLES!$B:$B,$A173,MIERCOLES!$D:$D))</f>
        <v>0</v>
      </c>
      <c r="G173" s="449">
        <f>IF($A173="","",SUMIF(JUEVES!$B:$B,$A173,JUEVES!$D:$D))</f>
        <v>0</v>
      </c>
      <c r="H173" s="449">
        <f>IF($A173="","",SUMIF(VIERNES!$B:$B,$A173,VIERNES!$D:$D))</f>
        <v>1</v>
      </c>
      <c r="I173" s="449">
        <f>IF($A173="","",SUMIF(SABADO!$B:$B,$A173,SABADO!$D:$D))</f>
        <v>0</v>
      </c>
      <c r="J173" s="459">
        <f>IF($A173="","",SUMIF(DOMINGO!$B:$B,$A173,DOMINGO!$D:$D))</f>
        <v>0</v>
      </c>
      <c r="K173" s="461">
        <f t="shared" si="4"/>
        <v>2</v>
      </c>
      <c r="L173" s="462">
        <f t="shared" si="5"/>
        <v>8</v>
      </c>
    </row>
    <row r="174" spans="1:12" x14ac:dyDescent="0.2">
      <c r="A174" s="456" t="str">
        <f>IF(CODIGOS!$A175="","",CODIGOS!$A175)</f>
        <v>C902861</v>
      </c>
      <c r="B174" s="443" t="str">
        <f>IF(CODIGOS!$B175="","",CODIGOS!$B175)</f>
        <v>SOPA CARACOLITOS</v>
      </c>
      <c r="C174" s="457" t="str">
        <f>IF(CODIGOS!$E175="","",CODIGOS!$E175)</f>
        <v>KG</v>
      </c>
      <c r="D174" s="452">
        <f>IF($A174="","",SUMIF(LUNES!$B:$B,$A174,LUNES!$D:$D))</f>
        <v>0</v>
      </c>
      <c r="E174" s="449">
        <f>IF($A174="","",SUMIF(MARTES!$B:$B,$A174,MARTES!$D:$D))</f>
        <v>0</v>
      </c>
      <c r="F174" s="449">
        <f>IF($A174="","",SUMIF(MIERCOLES!$B:$B,$A174,MIERCOLES!$D:$D))</f>
        <v>0</v>
      </c>
      <c r="G174" s="449">
        <f>IF($A174="","",SUMIF(JUEVES!$B:$B,$A174,JUEVES!$D:$D))</f>
        <v>0</v>
      </c>
      <c r="H174" s="449">
        <f>IF($A174="","",SUMIF(VIERNES!$B:$B,$A174,VIERNES!$D:$D))</f>
        <v>0</v>
      </c>
      <c r="I174" s="449">
        <f>IF($A174="","",SUMIF(SABADO!$B:$B,$A174,SABADO!$D:$D))</f>
        <v>0</v>
      </c>
      <c r="J174" s="459">
        <f>IF($A174="","",SUMIF(DOMINGO!$B:$B,$A174,DOMINGO!$D:$D))</f>
        <v>0</v>
      </c>
      <c r="K174" s="461">
        <f t="shared" si="4"/>
        <v>0</v>
      </c>
      <c r="L174" s="462">
        <f t="shared" si="5"/>
        <v>0</v>
      </c>
    </row>
    <row r="175" spans="1:12" x14ac:dyDescent="0.2">
      <c r="A175" s="456" t="str">
        <f>IF(CODIGOS!$A176="","",CODIGOS!$A176)</f>
        <v>C902863</v>
      </c>
      <c r="B175" s="443" t="str">
        <f>IF(CODIGOS!$B176="","",CODIGOS!$B176)</f>
        <v>SOPA CARNE CON ARROZ</v>
      </c>
      <c r="C175" s="457" t="str">
        <f>IF(CODIGOS!$E176="","",CODIGOS!$E176)</f>
        <v>KG</v>
      </c>
      <c r="D175" s="452">
        <f>IF($A175="","",SUMIF(LUNES!$B:$B,$A175,LUNES!$D:$D))</f>
        <v>0</v>
      </c>
      <c r="E175" s="449">
        <f>IF($A175="","",SUMIF(MARTES!$B:$B,$A175,MARTES!$D:$D))</f>
        <v>0</v>
      </c>
      <c r="F175" s="449">
        <f>IF($A175="","",SUMIF(MIERCOLES!$B:$B,$A175,MIERCOLES!$D:$D))</f>
        <v>0</v>
      </c>
      <c r="G175" s="449">
        <f>IF($A175="","",SUMIF(JUEVES!$B:$B,$A175,JUEVES!$D:$D))</f>
        <v>0</v>
      </c>
      <c r="H175" s="449">
        <f>IF($A175="","",SUMIF(VIERNES!$B:$B,$A175,VIERNES!$D:$D))</f>
        <v>0</v>
      </c>
      <c r="I175" s="449">
        <f>IF($A175="","",SUMIF(SABADO!$B:$B,$A175,SABADO!$D:$D))</f>
        <v>0</v>
      </c>
      <c r="J175" s="459">
        <f>IF($A175="","",SUMIF(DOMINGO!$B:$B,$A175,DOMINGO!$D:$D))</f>
        <v>0</v>
      </c>
      <c r="K175" s="461">
        <f t="shared" si="4"/>
        <v>0</v>
      </c>
      <c r="L175" s="462">
        <f t="shared" si="5"/>
        <v>0</v>
      </c>
    </row>
    <row r="176" spans="1:12" x14ac:dyDescent="0.2">
      <c r="A176" s="456" t="str">
        <f>IF(CODIGOS!$A177="","",CODIGOS!$A177)</f>
        <v>C902864</v>
      </c>
      <c r="B176" s="443" t="str">
        <f>IF(CODIGOS!$B177="","",CODIGOS!$B177)</f>
        <v>SOPA DE CARNE CON FIDEOS</v>
      </c>
      <c r="C176" s="457" t="str">
        <f>IF(CODIGOS!$E177="","",CODIGOS!$E177)</f>
        <v>KG</v>
      </c>
      <c r="D176" s="452">
        <f>IF($A176="","",SUMIF(LUNES!$B:$B,$A176,LUNES!$D:$D))</f>
        <v>0</v>
      </c>
      <c r="E176" s="449">
        <f>IF($A176="","",SUMIF(MARTES!$B:$B,$A176,MARTES!$D:$D))</f>
        <v>0</v>
      </c>
      <c r="F176" s="449">
        <f>IF($A176="","",SUMIF(MIERCOLES!$B:$B,$A176,MIERCOLES!$D:$D))</f>
        <v>0</v>
      </c>
      <c r="G176" s="449">
        <f>IF($A176="","",SUMIF(JUEVES!$B:$B,$A176,JUEVES!$D:$D))</f>
        <v>0</v>
      </c>
      <c r="H176" s="449">
        <f>IF($A176="","",SUMIF(VIERNES!$B:$B,$A176,VIERNES!$D:$D))</f>
        <v>0</v>
      </c>
      <c r="I176" s="449">
        <f>IF($A176="","",SUMIF(SABADO!$B:$B,$A176,SABADO!$D:$D))</f>
        <v>0</v>
      </c>
      <c r="J176" s="459">
        <f>IF($A176="","",SUMIF(DOMINGO!$B:$B,$A176,DOMINGO!$D:$D))</f>
        <v>0</v>
      </c>
      <c r="K176" s="461">
        <f t="shared" si="4"/>
        <v>0</v>
      </c>
      <c r="L176" s="462">
        <f t="shared" si="5"/>
        <v>0</v>
      </c>
    </row>
    <row r="177" spans="1:12" x14ac:dyDescent="0.2">
      <c r="A177" s="456" t="str">
        <f>IF(CODIGOS!$A178="","",CODIGOS!$A178)</f>
        <v>C902862</v>
      </c>
      <c r="B177" s="443" t="str">
        <f>IF(CODIGOS!$B178="","",CODIGOS!$B178)</f>
        <v>SOPA CARNE CON VERDURAS</v>
      </c>
      <c r="C177" s="457" t="str">
        <f>IF(CODIGOS!$E178="","",CODIGOS!$E178)</f>
        <v>KG</v>
      </c>
      <c r="D177" s="452">
        <f>IF($A177="","",SUMIF(LUNES!$B:$B,$A177,LUNES!$D:$D))</f>
        <v>0</v>
      </c>
      <c r="E177" s="449">
        <f>IF($A177="","",SUMIF(MARTES!$B:$B,$A177,MARTES!$D:$D))</f>
        <v>0</v>
      </c>
      <c r="F177" s="449">
        <f>IF($A177="","",SUMIF(MIERCOLES!$B:$B,$A177,MIERCOLES!$D:$D))</f>
        <v>0</v>
      </c>
      <c r="G177" s="449">
        <f>IF($A177="","",SUMIF(JUEVES!$B:$B,$A177,JUEVES!$D:$D))</f>
        <v>0</v>
      </c>
      <c r="H177" s="449">
        <f>IF($A177="","",SUMIF(VIERNES!$B:$B,$A177,VIERNES!$D:$D))</f>
        <v>0</v>
      </c>
      <c r="I177" s="449">
        <f>IF($A177="","",SUMIF(SABADO!$B:$B,$A177,SABADO!$D:$D))</f>
        <v>0</v>
      </c>
      <c r="J177" s="459">
        <f>IF($A177="","",SUMIF(DOMINGO!$B:$B,$A177,DOMINGO!$D:$D))</f>
        <v>1</v>
      </c>
      <c r="K177" s="461">
        <f t="shared" si="4"/>
        <v>1</v>
      </c>
      <c r="L177" s="462">
        <f t="shared" si="5"/>
        <v>4</v>
      </c>
    </row>
    <row r="178" spans="1:12" x14ac:dyDescent="0.2">
      <c r="A178" s="456" t="str">
        <f>IF(CODIGOS!$A179="","",CODIGOS!$A179)</f>
        <v>C902865</v>
      </c>
      <c r="B178" s="443" t="str">
        <f>IF(CODIGOS!$B179="","",CODIGOS!$B179)</f>
        <v>SOPA DE POLLO CON ARROZ</v>
      </c>
      <c r="C178" s="457" t="str">
        <f>IF(CODIGOS!$E179="","",CODIGOS!$E179)</f>
        <v>KG</v>
      </c>
      <c r="D178" s="452">
        <f>IF($A178="","",SUMIF(LUNES!$B:$B,$A178,LUNES!$D:$D))</f>
        <v>0</v>
      </c>
      <c r="E178" s="449">
        <f>IF($A178="","",SUMIF(MARTES!$B:$B,$A178,MARTES!$D:$D))</f>
        <v>0</v>
      </c>
      <c r="F178" s="449">
        <f>IF($A178="","",SUMIF(MIERCOLES!$B:$B,$A178,MIERCOLES!$D:$D))</f>
        <v>0</v>
      </c>
      <c r="G178" s="449">
        <f>IF($A178="","",SUMIF(JUEVES!$B:$B,$A178,JUEVES!$D:$D))</f>
        <v>0</v>
      </c>
      <c r="H178" s="449">
        <f>IF($A178="","",SUMIF(VIERNES!$B:$B,$A178,VIERNES!$D:$D))</f>
        <v>0</v>
      </c>
      <c r="I178" s="449">
        <f>IF($A178="","",SUMIF(SABADO!$B:$B,$A178,SABADO!$D:$D))</f>
        <v>0</v>
      </c>
      <c r="J178" s="459">
        <f>IF($A178="","",SUMIF(DOMINGO!$B:$B,$A178,DOMINGO!$D:$D))</f>
        <v>0</v>
      </c>
      <c r="K178" s="461">
        <f t="shared" si="4"/>
        <v>0</v>
      </c>
      <c r="L178" s="462">
        <f t="shared" si="5"/>
        <v>0</v>
      </c>
    </row>
    <row r="179" spans="1:12" x14ac:dyDescent="0.2">
      <c r="A179" s="456" t="str">
        <f>IF(CODIGOS!$A180="","",CODIGOS!$A180)</f>
        <v>C902866</v>
      </c>
      <c r="B179" s="443" t="str">
        <f>IF(CODIGOS!$B180="","",CODIGOS!$B180)</f>
        <v>SOPA DE POLLO CON FIDEOS</v>
      </c>
      <c r="C179" s="457" t="str">
        <f>IF(CODIGOS!$E180="","",CODIGOS!$E180)</f>
        <v>KG</v>
      </c>
      <c r="D179" s="452">
        <f>IF($A179="","",SUMIF(LUNES!$B:$B,$A179,LUNES!$D:$D))</f>
        <v>0</v>
      </c>
      <c r="E179" s="449">
        <f>IF($A179="","",SUMIF(MARTES!$B:$B,$A179,MARTES!$D:$D))</f>
        <v>0</v>
      </c>
      <c r="F179" s="449">
        <f>IF($A179="","",SUMIF(MIERCOLES!$B:$B,$A179,MIERCOLES!$D:$D))</f>
        <v>0</v>
      </c>
      <c r="G179" s="449">
        <f>IF($A179="","",SUMIF(JUEVES!$B:$B,$A179,JUEVES!$D:$D))</f>
        <v>0</v>
      </c>
      <c r="H179" s="449">
        <f>IF($A179="","",SUMIF(VIERNES!$B:$B,$A179,VIERNES!$D:$D))</f>
        <v>0</v>
      </c>
      <c r="I179" s="449">
        <f>IF($A179="","",SUMIF(SABADO!$B:$B,$A179,SABADO!$D:$D))</f>
        <v>1</v>
      </c>
      <c r="J179" s="459">
        <f>IF($A179="","",SUMIF(DOMINGO!$B:$B,$A179,DOMINGO!$D:$D))</f>
        <v>0</v>
      </c>
      <c r="K179" s="461">
        <f t="shared" si="4"/>
        <v>1</v>
      </c>
      <c r="L179" s="462">
        <f t="shared" si="5"/>
        <v>4</v>
      </c>
    </row>
    <row r="180" spans="1:12" x14ac:dyDescent="0.2">
      <c r="A180" s="456" t="str">
        <f>IF(CODIGOS!$A181="","",CODIGOS!$A181)</f>
        <v>V001129</v>
      </c>
      <c r="B180" s="443" t="str">
        <f>IF(CODIGOS!$B181="","",CODIGOS!$B181)</f>
        <v>SUCEDANEO JUGO LIMON 500CC</v>
      </c>
      <c r="C180" s="457" t="str">
        <f>IF(CODIGOS!$E181="","",CODIGOS!$E181)</f>
        <v>500 cc</v>
      </c>
      <c r="D180" s="452">
        <f>IF($A180="","",SUMIF(LUNES!$B:$B,$A180,LUNES!$D:$D))</f>
        <v>0</v>
      </c>
      <c r="E180" s="449">
        <f>IF($A180="","",SUMIF(MARTES!$B:$B,$A180,MARTES!$D:$D))</f>
        <v>2.8</v>
      </c>
      <c r="F180" s="449">
        <f>IF($A180="","",SUMIF(MIERCOLES!$B:$B,$A180,MIERCOLES!$D:$D))</f>
        <v>2</v>
      </c>
      <c r="G180" s="449">
        <f>IF($A180="","",SUMIF(JUEVES!$B:$B,$A180,JUEVES!$D:$D))</f>
        <v>1</v>
      </c>
      <c r="H180" s="449">
        <f>IF($A180="","",SUMIF(VIERNES!$B:$B,$A180,VIERNES!$D:$D))</f>
        <v>0</v>
      </c>
      <c r="I180" s="449">
        <f>IF($A180="","",SUMIF(SABADO!$B:$B,$A180,SABADO!$D:$D))</f>
        <v>0.8</v>
      </c>
      <c r="J180" s="459">
        <f>IF($A180="","",SUMIF(DOMINGO!$B:$B,$A180,DOMINGO!$D:$D))</f>
        <v>0</v>
      </c>
      <c r="K180" s="461">
        <f t="shared" si="4"/>
        <v>6.6</v>
      </c>
      <c r="L180" s="462">
        <f t="shared" si="5"/>
        <v>26.4</v>
      </c>
    </row>
    <row r="181" spans="1:12" x14ac:dyDescent="0.2">
      <c r="A181" s="456" t="str">
        <f>IF(CODIGOS!$A182="","",CODIGOS!$A182)</f>
        <v>C903008</v>
      </c>
      <c r="B181" s="443" t="str">
        <f>IF(CODIGOS!$B182="","",CODIGOS!$B182)</f>
        <v>SURTIDO MARISCOS KG</v>
      </c>
      <c r="C181" s="457" t="str">
        <f>IF(CODIGOS!$E182="","",CODIGOS!$E182)</f>
        <v>KG</v>
      </c>
      <c r="D181" s="452">
        <f>IF($A181="","",SUMIF(LUNES!$B:$B,$A181,LUNES!$D:$D))</f>
        <v>0</v>
      </c>
      <c r="E181" s="449">
        <f>IF($A181="","",SUMIF(MARTES!$B:$B,$A181,MARTES!$D:$D))</f>
        <v>0</v>
      </c>
      <c r="F181" s="449">
        <f>IF($A181="","",SUMIF(MIERCOLES!$B:$B,$A181,MIERCOLES!$D:$D))</f>
        <v>0</v>
      </c>
      <c r="G181" s="449">
        <f>IF($A181="","",SUMIF(JUEVES!$B:$B,$A181,JUEVES!$D:$D))</f>
        <v>0</v>
      </c>
      <c r="H181" s="449">
        <f>IF($A181="","",SUMIF(VIERNES!$B:$B,$A181,VIERNES!$D:$D))</f>
        <v>0</v>
      </c>
      <c r="I181" s="449">
        <f>IF($A181="","",SUMIF(SABADO!$B:$B,$A181,SABADO!$D:$D))</f>
        <v>5.6</v>
      </c>
      <c r="J181" s="459">
        <f>IF($A181="","",SUMIF(DOMINGO!$B:$B,$A181,DOMINGO!$D:$D))</f>
        <v>0</v>
      </c>
      <c r="K181" s="461">
        <f t="shared" si="4"/>
        <v>5.6</v>
      </c>
      <c r="L181" s="462">
        <f t="shared" si="5"/>
        <v>22.4</v>
      </c>
    </row>
    <row r="182" spans="1:12" x14ac:dyDescent="0.2">
      <c r="A182" s="456" t="str">
        <f>IF(CODIGOS!$A183="","",CODIGOS!$A183)</f>
        <v>V000573</v>
      </c>
      <c r="B182" s="443" t="str">
        <f>IF(CODIGOS!$B183="","",CODIGOS!$B183)</f>
        <v>TACOS</v>
      </c>
      <c r="C182" s="457" t="str">
        <f>IF(CODIGOS!$E183="","",CODIGOS!$E183)</f>
        <v>PQ</v>
      </c>
      <c r="D182" s="452">
        <f>IF($A182="","",SUMIF(LUNES!$B:$B,$A182,LUNES!$D:$D))</f>
        <v>0</v>
      </c>
      <c r="E182" s="449">
        <f>IF($A182="","",SUMIF(MARTES!$B:$B,$A182,MARTES!$D:$D))</f>
        <v>0</v>
      </c>
      <c r="F182" s="449">
        <f>IF($A182="","",SUMIF(MIERCOLES!$B:$B,$A182,MIERCOLES!$D:$D))</f>
        <v>0</v>
      </c>
      <c r="G182" s="449">
        <f>IF($A182="","",SUMIF(JUEVES!$B:$B,$A182,JUEVES!$D:$D))</f>
        <v>0</v>
      </c>
      <c r="H182" s="449">
        <f>IF($A182="","",SUMIF(VIERNES!$B:$B,$A182,VIERNES!$D:$D))</f>
        <v>0</v>
      </c>
      <c r="I182" s="449">
        <f>IF($A182="","",SUMIF(SABADO!$B:$B,$A182,SABADO!$D:$D))</f>
        <v>0</v>
      </c>
      <c r="J182" s="459">
        <f>IF($A182="","",SUMIF(DOMINGO!$B:$B,$A182,DOMINGO!$D:$D))</f>
        <v>0</v>
      </c>
      <c r="K182" s="461">
        <f t="shared" si="4"/>
        <v>0</v>
      </c>
      <c r="L182" s="462">
        <f t="shared" si="5"/>
        <v>0</v>
      </c>
    </row>
    <row r="183" spans="1:12" x14ac:dyDescent="0.2">
      <c r="A183" s="456" t="str">
        <f>IF(CODIGOS!$A184="","",CODIGOS!$A184)</f>
        <v>C000827</v>
      </c>
      <c r="B183" s="443" t="str">
        <f>IF(CODIGOS!$B184="","",CODIGOS!$B184)</f>
        <v>TE</v>
      </c>
      <c r="C183" s="457" t="str">
        <f>IF(CODIGOS!$E184="","",CODIGOS!$E184)</f>
        <v>KG</v>
      </c>
      <c r="D183" s="452">
        <f>IF($A183="","",SUMIF(LUNES!$B:$B,$A183,LUNES!$D:$D))</f>
        <v>0.12</v>
      </c>
      <c r="E183" s="449">
        <f>IF($A183="","",SUMIF(MARTES!$B:$B,$A183,MARTES!$D:$D))</f>
        <v>0.12</v>
      </c>
      <c r="F183" s="449">
        <f>IF($A183="","",SUMIF(MIERCOLES!$B:$B,$A183,MIERCOLES!$D:$D))</f>
        <v>0.12</v>
      </c>
      <c r="G183" s="449">
        <f>IF($A183="","",SUMIF(JUEVES!$B:$B,$A183,JUEVES!$D:$D))</f>
        <v>0.12</v>
      </c>
      <c r="H183" s="449">
        <f>IF($A183="","",SUMIF(VIERNES!$B:$B,$A183,VIERNES!$D:$D))</f>
        <v>0.12</v>
      </c>
      <c r="I183" s="449">
        <f>IF($A183="","",SUMIF(SABADO!$B:$B,$A183,SABADO!$D:$D))</f>
        <v>0.12</v>
      </c>
      <c r="J183" s="459">
        <f>IF($A183="","",SUMIF(DOMINGO!$B:$B,$A183,DOMINGO!$D:$D))</f>
        <v>0.12</v>
      </c>
      <c r="K183" s="461">
        <f t="shared" si="4"/>
        <v>0.84</v>
      </c>
      <c r="L183" s="462">
        <f t="shared" si="5"/>
        <v>3.36</v>
      </c>
    </row>
    <row r="184" spans="1:12" x14ac:dyDescent="0.2">
      <c r="A184" s="456" t="str">
        <f>IF(CODIGOS!$A185="","",CODIGOS!$A185)</f>
        <v>C902891</v>
      </c>
      <c r="B184" s="443" t="str">
        <f>IF(CODIGOS!$B185="","",CODIGOS!$B185)</f>
        <v>TÉ EN BOLSITA (CA 150 BOLSITAS)</v>
      </c>
      <c r="C184" s="457" t="str">
        <f>IF(CODIGOS!$E185="","",CODIGOS!$E185)</f>
        <v>EA</v>
      </c>
      <c r="D184" s="452">
        <f>IF($A184="","",SUMIF(LUNES!$B:$B,$A184,LUNES!$D:$D))</f>
        <v>0</v>
      </c>
      <c r="E184" s="449">
        <f>IF($A184="","",SUMIF(MARTES!$B:$B,$A184,MARTES!$D:$D))</f>
        <v>0</v>
      </c>
      <c r="F184" s="449">
        <f>IF($A184="","",SUMIF(MIERCOLES!$B:$B,$A184,MIERCOLES!$D:$D))</f>
        <v>0</v>
      </c>
      <c r="G184" s="449">
        <f>IF($A184="","",SUMIF(JUEVES!$B:$B,$A184,JUEVES!$D:$D))</f>
        <v>0</v>
      </c>
      <c r="H184" s="449">
        <f>IF($A184="","",SUMIF(VIERNES!$B:$B,$A184,VIERNES!$D:$D))</f>
        <v>0</v>
      </c>
      <c r="I184" s="449">
        <f>IF($A184="","",SUMIF(SABADO!$B:$B,$A184,SABADO!$D:$D))</f>
        <v>0</v>
      </c>
      <c r="J184" s="459">
        <f>IF($A184="","",SUMIF(DOMINGO!$B:$B,$A184,DOMINGO!$D:$D))</f>
        <v>0</v>
      </c>
      <c r="K184" s="461">
        <f t="shared" si="4"/>
        <v>0</v>
      </c>
      <c r="L184" s="462">
        <f t="shared" si="5"/>
        <v>0</v>
      </c>
    </row>
    <row r="185" spans="1:12" x14ac:dyDescent="0.2">
      <c r="A185" s="456" t="str">
        <f>IF(CODIGOS!$A186="","",CODIGOS!$A186)</f>
        <v>C902686</v>
      </c>
      <c r="B185" s="443" t="str">
        <f>IF(CODIGOS!$B186="","",CODIGOS!$B186)</f>
        <v>TE EN BOLSITAS</v>
      </c>
      <c r="C185" s="457" t="str">
        <f>IF(CODIGOS!$E186="","",CODIGOS!$E186)</f>
        <v>BX</v>
      </c>
      <c r="D185" s="452">
        <f>IF($A185="","",SUMIF(LUNES!$B:$B,$A185,LUNES!$D:$D))</f>
        <v>0</v>
      </c>
      <c r="E185" s="449">
        <f>IF($A185="","",SUMIF(MARTES!$B:$B,$A185,MARTES!$D:$D))</f>
        <v>0</v>
      </c>
      <c r="F185" s="449">
        <f>IF($A185="","",SUMIF(MIERCOLES!$B:$B,$A185,MIERCOLES!$D:$D))</f>
        <v>0</v>
      </c>
      <c r="G185" s="449">
        <f>IF($A185="","",SUMIF(JUEVES!$B:$B,$A185,JUEVES!$D:$D))</f>
        <v>0</v>
      </c>
      <c r="H185" s="449">
        <f>IF($A185="","",SUMIF(VIERNES!$B:$B,$A185,VIERNES!$D:$D))</f>
        <v>0</v>
      </c>
      <c r="I185" s="449">
        <f>IF($A185="","",SUMIF(SABADO!$B:$B,$A185,SABADO!$D:$D))</f>
        <v>0</v>
      </c>
      <c r="J185" s="459">
        <f>IF($A185="","",SUMIF(DOMINGO!$B:$B,$A185,DOMINGO!$D:$D))</f>
        <v>0</v>
      </c>
      <c r="K185" s="461">
        <f t="shared" si="4"/>
        <v>0</v>
      </c>
      <c r="L185" s="462">
        <f t="shared" si="5"/>
        <v>0</v>
      </c>
    </row>
    <row r="186" spans="1:12" x14ac:dyDescent="0.2">
      <c r="A186" s="456" t="str">
        <f>IF(CODIGOS!$A187="","",CODIGOS!$A187)</f>
        <v>V000317</v>
      </c>
      <c r="B186" s="443" t="str">
        <f>IF(CODIGOS!$B187="","",CODIGOS!$B187)</f>
        <v>TOMATES NATURAL</v>
      </c>
      <c r="C186" s="457" t="str">
        <f>IF(CODIGOS!$E187="","",CODIGOS!$E187)</f>
        <v>KG</v>
      </c>
      <c r="D186" s="452">
        <f>IF($A186="","",SUMIF(LUNES!$B:$B,$A186,LUNES!$D:$D))</f>
        <v>2.4</v>
      </c>
      <c r="E186" s="449">
        <f>IF($A186="","",SUMIF(MARTES!$B:$B,$A186,MARTES!$D:$D))</f>
        <v>8</v>
      </c>
      <c r="F186" s="449">
        <f>IF($A186="","",SUMIF(MIERCOLES!$B:$B,$A186,MIERCOLES!$D:$D))</f>
        <v>3.2</v>
      </c>
      <c r="G186" s="449">
        <f>IF($A186="","",SUMIF(JUEVES!$B:$B,$A186,JUEVES!$D:$D))</f>
        <v>20</v>
      </c>
      <c r="H186" s="449">
        <f>IF($A186="","",SUMIF(VIERNES!$B:$B,$A186,VIERNES!$D:$D))</f>
        <v>0</v>
      </c>
      <c r="I186" s="449">
        <f>IF($A186="","",SUMIF(SABADO!$B:$B,$A186,SABADO!$D:$D))</f>
        <v>1.6</v>
      </c>
      <c r="J186" s="459">
        <f>IF($A186="","",SUMIF(DOMINGO!$B:$B,$A186,DOMINGO!$D:$D))</f>
        <v>0</v>
      </c>
      <c r="K186" s="461">
        <f t="shared" si="4"/>
        <v>35.200000000000003</v>
      </c>
      <c r="L186" s="462">
        <f t="shared" si="5"/>
        <v>140.80000000000001</v>
      </c>
    </row>
    <row r="187" spans="1:12" x14ac:dyDescent="0.2">
      <c r="A187" s="456" t="str">
        <f>IF(CODIGOS!$A188="","",CODIGOS!$A188)</f>
        <v>V000318</v>
      </c>
      <c r="B187" s="443" t="str">
        <f>IF(CODIGOS!$B188="","",CODIGOS!$B188)</f>
        <v>TOMILLO</v>
      </c>
      <c r="C187" s="457" t="str">
        <f>IF(CODIGOS!$E188="","",CODIGOS!$E188)</f>
        <v>KG</v>
      </c>
      <c r="D187" s="452">
        <f>IF($A187="","",SUMIF(LUNES!$B:$B,$A187,LUNES!$D:$D))</f>
        <v>0</v>
      </c>
      <c r="E187" s="449">
        <f>IF($A187="","",SUMIF(MARTES!$B:$B,$A187,MARTES!$D:$D))</f>
        <v>0</v>
      </c>
      <c r="F187" s="449">
        <f>IF($A187="","",SUMIF(MIERCOLES!$B:$B,$A187,MIERCOLES!$D:$D))</f>
        <v>0</v>
      </c>
      <c r="G187" s="449">
        <f>IF($A187="","",SUMIF(JUEVES!$B:$B,$A187,JUEVES!$D:$D))</f>
        <v>0</v>
      </c>
      <c r="H187" s="449">
        <f>IF($A187="","",SUMIF(VIERNES!$B:$B,$A187,VIERNES!$D:$D))</f>
        <v>0</v>
      </c>
      <c r="I187" s="449">
        <f>IF($A187="","",SUMIF(SABADO!$B:$B,$A187,SABADO!$D:$D))</f>
        <v>0</v>
      </c>
      <c r="J187" s="459">
        <f>IF($A187="","",SUMIF(DOMINGO!$B:$B,$A187,DOMINGO!$D:$D))</f>
        <v>0</v>
      </c>
      <c r="K187" s="461">
        <f t="shared" si="4"/>
        <v>0</v>
      </c>
      <c r="L187" s="462">
        <f t="shared" si="5"/>
        <v>0</v>
      </c>
    </row>
    <row r="188" spans="1:12" x14ac:dyDescent="0.2">
      <c r="A188" s="456" t="str">
        <f>IF(CODIGOS!$A189="","",CODIGOS!$A189)</f>
        <v>V000320</v>
      </c>
      <c r="B188" s="443" t="str">
        <f>IF(CODIGOS!$B189="","",CODIGOS!$B189)</f>
        <v>UVAS</v>
      </c>
      <c r="C188" s="457" t="str">
        <f>IF(CODIGOS!$E189="","",CODIGOS!$E189)</f>
        <v>KG</v>
      </c>
      <c r="D188" s="452">
        <f>IF($A188="","",SUMIF(LUNES!$B:$B,$A188,LUNES!$D:$D))</f>
        <v>0</v>
      </c>
      <c r="E188" s="449">
        <f>IF($A188="","",SUMIF(MARTES!$B:$B,$A188,MARTES!$D:$D))</f>
        <v>0</v>
      </c>
      <c r="F188" s="449">
        <f>IF($A188="","",SUMIF(MIERCOLES!$B:$B,$A188,MIERCOLES!$D:$D))</f>
        <v>0</v>
      </c>
      <c r="G188" s="449">
        <f>IF($A188="","",SUMIF(JUEVES!$B:$B,$A188,JUEVES!$D:$D))</f>
        <v>0</v>
      </c>
      <c r="H188" s="449">
        <f>IF($A188="","",SUMIF(VIERNES!$B:$B,$A188,VIERNES!$D:$D))</f>
        <v>0</v>
      </c>
      <c r="I188" s="449">
        <f>IF($A188="","",SUMIF(SABADO!$B:$B,$A188,SABADO!$D:$D))</f>
        <v>0</v>
      </c>
      <c r="J188" s="459">
        <f>IF($A188="","",SUMIF(DOMINGO!$B:$B,$A188,DOMINGO!$D:$D))</f>
        <v>0</v>
      </c>
      <c r="K188" s="461">
        <f t="shared" si="4"/>
        <v>0</v>
      </c>
      <c r="L188" s="462">
        <f t="shared" si="5"/>
        <v>0</v>
      </c>
    </row>
    <row r="189" spans="1:12" x14ac:dyDescent="0.2">
      <c r="A189" s="456" t="str">
        <f>IF(CODIGOS!$A190="","",CODIGOS!$A190)</f>
        <v>C903337</v>
      </c>
      <c r="B189" s="443" t="str">
        <f>IF(CODIGOS!$B190="","",CODIGOS!$B190)</f>
        <v>VACUNO BISTEC</v>
      </c>
      <c r="C189" s="457" t="str">
        <f>IF(CODIGOS!$E190="","",CODIGOS!$E190)</f>
        <v>KG</v>
      </c>
      <c r="D189" s="452">
        <f>IF($A189="","",SUMIF(LUNES!$B:$B,$A189,LUNES!$D:$D))</f>
        <v>0</v>
      </c>
      <c r="E189" s="449">
        <f>IF($A189="","",SUMIF(MARTES!$B:$B,$A189,MARTES!$D:$D))</f>
        <v>0</v>
      </c>
      <c r="F189" s="449">
        <f>IF($A189="","",SUMIF(MIERCOLES!$B:$B,$A189,MIERCOLES!$D:$D))</f>
        <v>0</v>
      </c>
      <c r="G189" s="449">
        <f>IF($A189="","",SUMIF(JUEVES!$B:$B,$A189,JUEVES!$D:$D))</f>
        <v>0</v>
      </c>
      <c r="H189" s="449">
        <f>IF($A189="","",SUMIF(VIERNES!$B:$B,$A189,VIERNES!$D:$D))</f>
        <v>0</v>
      </c>
      <c r="I189" s="449">
        <f>IF($A189="","",SUMIF(SABADO!$B:$B,$A189,SABADO!$D:$D))</f>
        <v>0</v>
      </c>
      <c r="J189" s="459">
        <f>IF($A189="","",SUMIF(DOMINGO!$B:$B,$A189,DOMINGO!$D:$D))</f>
        <v>0</v>
      </c>
      <c r="K189" s="461">
        <f t="shared" si="4"/>
        <v>0</v>
      </c>
      <c r="L189" s="462">
        <f t="shared" si="5"/>
        <v>0</v>
      </c>
    </row>
    <row r="190" spans="1:12" x14ac:dyDescent="0.2">
      <c r="A190" s="456" t="str">
        <f>IF(CODIGOS!$A191="","",CODIGOS!$A191)</f>
        <v>C902472</v>
      </c>
      <c r="B190" s="443" t="str">
        <f>IF(CODIGOS!$B191="","",CODIGOS!$B191)</f>
        <v>VACUNO CARNE MOLIDA CONGELADA</v>
      </c>
      <c r="C190" s="457" t="str">
        <f>IF(CODIGOS!$E191="","",CODIGOS!$E191)</f>
        <v>KG</v>
      </c>
      <c r="D190" s="452">
        <f>IF($A190="","",SUMIF(LUNES!$B:$B,$A190,LUNES!$D:$D))</f>
        <v>20</v>
      </c>
      <c r="E190" s="449">
        <f>IF($A190="","",SUMIF(MARTES!$B:$B,$A190,MARTES!$D:$D))</f>
        <v>0</v>
      </c>
      <c r="F190" s="449">
        <f>IF($A190="","",SUMIF(MIERCOLES!$B:$B,$A190,MIERCOLES!$D:$D))</f>
        <v>0</v>
      </c>
      <c r="G190" s="449">
        <f>IF($A190="","",SUMIF(JUEVES!$B:$B,$A190,JUEVES!$D:$D))</f>
        <v>12</v>
      </c>
      <c r="H190" s="449">
        <f>IF($A190="","",SUMIF(VIERNES!$B:$B,$A190,VIERNES!$D:$D))</f>
        <v>8.8000000000000007</v>
      </c>
      <c r="I190" s="449">
        <f>IF($A190="","",SUMIF(SABADO!$B:$B,$A190,SABADO!$D:$D))</f>
        <v>0</v>
      </c>
      <c r="J190" s="459">
        <f>IF($A190="","",SUMIF(DOMINGO!$B:$B,$A190,DOMINGO!$D:$D))</f>
        <v>9.6</v>
      </c>
      <c r="K190" s="461">
        <f t="shared" si="4"/>
        <v>50.4</v>
      </c>
      <c r="L190" s="462">
        <f t="shared" si="5"/>
        <v>201.6</v>
      </c>
    </row>
    <row r="191" spans="1:12" x14ac:dyDescent="0.2">
      <c r="A191" s="456" t="str">
        <f>IF(CODIGOS!$A192="","",CODIGOS!$A192)</f>
        <v>C902473</v>
      </c>
      <c r="B191" s="443" t="str">
        <f>IF(CODIGOS!$B192="","",CODIGOS!$B192)</f>
        <v>VACUNO LOMO LISO CONGELADO</v>
      </c>
      <c r="C191" s="457" t="str">
        <f>IF(CODIGOS!$E192="","",CODIGOS!$E192)</f>
        <v>KG</v>
      </c>
      <c r="D191" s="452">
        <f>IF($A191="","",SUMIF(LUNES!$B:$B,$A191,LUNES!$D:$D))</f>
        <v>0</v>
      </c>
      <c r="E191" s="449">
        <f>IF($A191="","",SUMIF(MARTES!$B:$B,$A191,MARTES!$D:$D))</f>
        <v>0</v>
      </c>
      <c r="F191" s="449">
        <f>IF($A191="","",SUMIF(MIERCOLES!$B:$B,$A191,MIERCOLES!$D:$D))</f>
        <v>0</v>
      </c>
      <c r="G191" s="449">
        <f>IF($A191="","",SUMIF(JUEVES!$B:$B,$A191,JUEVES!$D:$D))</f>
        <v>0</v>
      </c>
      <c r="H191" s="449">
        <f>IF($A191="","",SUMIF(VIERNES!$B:$B,$A191,VIERNES!$D:$D))</f>
        <v>0</v>
      </c>
      <c r="I191" s="449">
        <f>IF($A191="","",SUMIF(SABADO!$B:$B,$A191,SABADO!$D:$D))</f>
        <v>0</v>
      </c>
      <c r="J191" s="459">
        <f>IF($A191="","",SUMIF(DOMINGO!$B:$B,$A191,DOMINGO!$D:$D))</f>
        <v>0</v>
      </c>
      <c r="K191" s="461">
        <f t="shared" si="4"/>
        <v>0</v>
      </c>
      <c r="L191" s="462">
        <f t="shared" si="5"/>
        <v>0</v>
      </c>
    </row>
    <row r="192" spans="1:12" x14ac:dyDescent="0.2">
      <c r="A192" s="456" t="str">
        <f>IF(CODIGOS!$A193="","",CODIGOS!$A193)</f>
        <v>C903343</v>
      </c>
      <c r="B192" s="443" t="str">
        <f>IF(CODIGOS!$B193="","",CODIGOS!$B193)</f>
        <v>VACUNO POLLO GANSO</v>
      </c>
      <c r="C192" s="457" t="str">
        <f>IF(CODIGOS!$E193="","",CODIGOS!$E193)</f>
        <v>KG</v>
      </c>
      <c r="D192" s="452">
        <f>IF($A192="","",SUMIF(LUNES!$B:$B,$A192,LUNES!$D:$D))</f>
        <v>0</v>
      </c>
      <c r="E192" s="449">
        <f>IF($A192="","",SUMIF(MARTES!$B:$B,$A192,MARTES!$D:$D))</f>
        <v>0</v>
      </c>
      <c r="F192" s="449">
        <f>IF($A192="","",SUMIF(MIERCOLES!$B:$B,$A192,MIERCOLES!$D:$D))</f>
        <v>0</v>
      </c>
      <c r="G192" s="449">
        <f>IF($A192="","",SUMIF(JUEVES!$B:$B,$A192,JUEVES!$D:$D))</f>
        <v>0</v>
      </c>
      <c r="H192" s="449">
        <f>IF($A192="","",SUMIF(VIERNES!$B:$B,$A192,VIERNES!$D:$D))</f>
        <v>0</v>
      </c>
      <c r="I192" s="449">
        <f>IF($A192="","",SUMIF(SABADO!$B:$B,$A192,SABADO!$D:$D))</f>
        <v>0</v>
      </c>
      <c r="J192" s="459">
        <f>IF($A192="","",SUMIF(DOMINGO!$B:$B,$A192,DOMINGO!$D:$D))</f>
        <v>0</v>
      </c>
      <c r="K192" s="461">
        <f t="shared" si="4"/>
        <v>0</v>
      </c>
      <c r="L192" s="462">
        <f t="shared" si="5"/>
        <v>0</v>
      </c>
    </row>
    <row r="193" spans="1:12" x14ac:dyDescent="0.2">
      <c r="A193" s="456" t="str">
        <f>IF(CODIGOS!$A194="","",CODIGOS!$A194)</f>
        <v>C000009</v>
      </c>
      <c r="B193" s="443" t="str">
        <f>IF(CODIGOS!$B194="","",CODIGOS!$B194)</f>
        <v>VACUNO POSTA NEGRA CONGELADA</v>
      </c>
      <c r="C193" s="457" t="str">
        <f>IF(CODIGOS!$E194="","",CODIGOS!$E194)</f>
        <v>KG</v>
      </c>
      <c r="D193" s="452">
        <f>IF($A193="","",SUMIF(LUNES!$B:$B,$A193,LUNES!$D:$D))</f>
        <v>0</v>
      </c>
      <c r="E193" s="449">
        <f>IF($A193="","",SUMIF(MARTES!$B:$B,$A193,MARTES!$D:$D))</f>
        <v>0</v>
      </c>
      <c r="F193" s="449">
        <f>IF($A193="","",SUMIF(MIERCOLES!$B:$B,$A193,MIERCOLES!$D:$D))</f>
        <v>0</v>
      </c>
      <c r="G193" s="449">
        <f>IF($A193="","",SUMIF(JUEVES!$B:$B,$A193,JUEVES!$D:$D))</f>
        <v>0</v>
      </c>
      <c r="H193" s="449">
        <f>IF($A193="","",SUMIF(VIERNES!$B:$B,$A193,VIERNES!$D:$D))</f>
        <v>0</v>
      </c>
      <c r="I193" s="449">
        <f>IF($A193="","",SUMIF(SABADO!$B:$B,$A193,SABADO!$D:$D))</f>
        <v>0</v>
      </c>
      <c r="J193" s="459">
        <f>IF($A193="","",SUMIF(DOMINGO!$B:$B,$A193,DOMINGO!$D:$D))</f>
        <v>0</v>
      </c>
      <c r="K193" s="461">
        <f t="shared" si="4"/>
        <v>0</v>
      </c>
      <c r="L193" s="462">
        <f t="shared" si="5"/>
        <v>0</v>
      </c>
    </row>
    <row r="194" spans="1:12" x14ac:dyDescent="0.2">
      <c r="A194" s="456" t="str">
        <f>IF(CODIGOS!$A195="","",CODIGOS!$A195)</f>
        <v>C903344</v>
      </c>
      <c r="B194" s="443" t="str">
        <f>IF(CODIGOS!$B195="","",CODIGOS!$B195)</f>
        <v>VACUNO POSTA PALETA</v>
      </c>
      <c r="C194" s="457" t="str">
        <f>IF(CODIGOS!$E195="","",CODIGOS!$E195)</f>
        <v>KG</v>
      </c>
      <c r="D194" s="452">
        <f>IF($A194="","",SUMIF(LUNES!$B:$B,$A194,LUNES!$D:$D))</f>
        <v>0</v>
      </c>
      <c r="E194" s="449">
        <f>IF($A194="","",SUMIF(MARTES!$B:$B,$A194,MARTES!$D:$D))</f>
        <v>0</v>
      </c>
      <c r="F194" s="449">
        <f>IF($A194="","",SUMIF(MIERCOLES!$B:$B,$A194,MIERCOLES!$D:$D))</f>
        <v>0</v>
      </c>
      <c r="G194" s="449">
        <f>IF($A194="","",SUMIF(JUEVES!$B:$B,$A194,JUEVES!$D:$D))</f>
        <v>0</v>
      </c>
      <c r="H194" s="449">
        <f>IF($A194="","",SUMIF(VIERNES!$B:$B,$A194,VIERNES!$D:$D))</f>
        <v>0</v>
      </c>
      <c r="I194" s="449">
        <f>IF($A194="","",SUMIF(SABADO!$B:$B,$A194,SABADO!$D:$D))</f>
        <v>0</v>
      </c>
      <c r="J194" s="459">
        <f>IF($A194="","",SUMIF(DOMINGO!$B:$B,$A194,DOMINGO!$D:$D))</f>
        <v>0</v>
      </c>
      <c r="K194" s="461">
        <f t="shared" si="4"/>
        <v>0</v>
      </c>
      <c r="L194" s="462">
        <f t="shared" si="5"/>
        <v>0</v>
      </c>
    </row>
    <row r="195" spans="1:12" x14ac:dyDescent="0.2">
      <c r="A195" s="456" t="str">
        <f>IF(CODIGOS!$A196="","",CODIGOS!$A196)</f>
        <v>C000010</v>
      </c>
      <c r="B195" s="443" t="str">
        <f>IF(CODIGOS!$B196="","",CODIGOS!$B196)</f>
        <v>VACUNO POSTA ROSADA CONGELADA</v>
      </c>
      <c r="C195" s="457" t="str">
        <f>IF(CODIGOS!$E196="","",CODIGOS!$E196)</f>
        <v>KG</v>
      </c>
      <c r="D195" s="452">
        <f>IF($A195="","",SUMIF(LUNES!$B:$B,$A195,LUNES!$D:$D))</f>
        <v>0</v>
      </c>
      <c r="E195" s="449">
        <f>IF($A195="","",SUMIF(MARTES!$B:$B,$A195,MARTES!$D:$D))</f>
        <v>13.6</v>
      </c>
      <c r="F195" s="449">
        <f>IF($A195="","",SUMIF(MIERCOLES!$B:$B,$A195,MIERCOLES!$D:$D))</f>
        <v>0</v>
      </c>
      <c r="G195" s="449">
        <f>IF($A195="","",SUMIF(JUEVES!$B:$B,$A195,JUEVES!$D:$D))</f>
        <v>0</v>
      </c>
      <c r="H195" s="449">
        <f>IF($A195="","",SUMIF(VIERNES!$B:$B,$A195,VIERNES!$D:$D))</f>
        <v>0</v>
      </c>
      <c r="I195" s="449">
        <f>IF($A195="","",SUMIF(SABADO!$B:$B,$A195,SABADO!$D:$D))</f>
        <v>13.6</v>
      </c>
      <c r="J195" s="459">
        <f>IF($A195="","",SUMIF(DOMINGO!$B:$B,$A195,DOMINGO!$D:$D))</f>
        <v>0</v>
      </c>
      <c r="K195" s="461">
        <f t="shared" si="4"/>
        <v>27.2</v>
      </c>
      <c r="L195" s="462">
        <f t="shared" si="5"/>
        <v>108.8</v>
      </c>
    </row>
    <row r="196" spans="1:12" x14ac:dyDescent="0.2">
      <c r="A196" s="456" t="str">
        <f>IF(CODIGOS!$A197="","",CODIGOS!$A197)</f>
        <v>C903422</v>
      </c>
      <c r="B196" s="443" t="str">
        <f>IF(CODIGOS!$B197="","",CODIGOS!$B197)</f>
        <v>VACUNO TAPAPECHO</v>
      </c>
      <c r="C196" s="457" t="str">
        <f>IF(CODIGOS!$E197="","",CODIGOS!$E197)</f>
        <v>KG</v>
      </c>
      <c r="D196" s="452">
        <f>IF($A196="","",SUMIF(LUNES!$B:$B,$A196,LUNES!$D:$D))</f>
        <v>0</v>
      </c>
      <c r="E196" s="449">
        <f>IF($A196="","",SUMIF(MARTES!$B:$B,$A196,MARTES!$D:$D))</f>
        <v>0</v>
      </c>
      <c r="F196" s="449">
        <f>IF($A196="","",SUMIF(MIERCOLES!$B:$B,$A196,MIERCOLES!$D:$D))</f>
        <v>0</v>
      </c>
      <c r="G196" s="449">
        <f>IF($A196="","",SUMIF(JUEVES!$B:$B,$A196,JUEVES!$D:$D))</f>
        <v>0</v>
      </c>
      <c r="H196" s="449">
        <f>IF($A196="","",SUMIF(VIERNES!$B:$B,$A196,VIERNES!$D:$D))</f>
        <v>0</v>
      </c>
      <c r="I196" s="449">
        <f>IF($A196="","",SUMIF(SABADO!$B:$B,$A196,SABADO!$D:$D))</f>
        <v>0</v>
      </c>
      <c r="J196" s="459">
        <f>IF($A196="","",SUMIF(DOMINGO!$B:$B,$A196,DOMINGO!$D:$D))</f>
        <v>0</v>
      </c>
      <c r="K196" s="461">
        <f t="shared" si="4"/>
        <v>0</v>
      </c>
      <c r="L196" s="462">
        <f t="shared" si="5"/>
        <v>0</v>
      </c>
    </row>
    <row r="197" spans="1:12" x14ac:dyDescent="0.2">
      <c r="A197" s="456" t="str">
        <f>IF(CODIGOS!$A198="","",CODIGOS!$A198)</f>
        <v>C903359</v>
      </c>
      <c r="B197" s="443" t="str">
        <f>IF(CODIGOS!$B198="","",CODIGOS!$B198)</f>
        <v>VACUNO SOBRECOSTILLA</v>
      </c>
      <c r="C197" s="457" t="str">
        <f>IF(CODIGOS!$E198="","",CODIGOS!$E198)</f>
        <v>KG</v>
      </c>
      <c r="D197" s="452">
        <f>IF($A197="","",SUMIF(LUNES!$B:$B,$A197,LUNES!$D:$D))</f>
        <v>0</v>
      </c>
      <c r="E197" s="449">
        <f>IF($A197="","",SUMIF(MARTES!$B:$B,$A197,MARTES!$D:$D))</f>
        <v>0</v>
      </c>
      <c r="F197" s="449">
        <f>IF($A197="","",SUMIF(MIERCOLES!$B:$B,$A197,MIERCOLES!$D:$D))</f>
        <v>0</v>
      </c>
      <c r="G197" s="449">
        <f>IF($A197="","",SUMIF(JUEVES!$B:$B,$A197,JUEVES!$D:$D))</f>
        <v>28</v>
      </c>
      <c r="H197" s="449">
        <f>IF($A197="","",SUMIF(VIERNES!$B:$B,$A197,VIERNES!$D:$D))</f>
        <v>0</v>
      </c>
      <c r="I197" s="449">
        <f>IF($A197="","",SUMIF(SABADO!$B:$B,$A197,SABADO!$D:$D))</f>
        <v>0</v>
      </c>
      <c r="J197" s="459">
        <f>IF($A197="","",SUMIF(DOMINGO!$B:$B,$A197,DOMINGO!$D:$D))</f>
        <v>0</v>
      </c>
      <c r="K197" s="461">
        <f t="shared" ref="K197:K208" si="6">IF($A197="","",SUM($D197:$J197))</f>
        <v>28</v>
      </c>
      <c r="L197" s="462">
        <f t="shared" ref="L197:L208" si="7">IF(K197="","",K197*4)</f>
        <v>112</v>
      </c>
    </row>
    <row r="198" spans="1:12" x14ac:dyDescent="0.2">
      <c r="A198" s="456" t="str">
        <f>IF(CODIGOS!$A199="","",CODIGOS!$A199)</f>
        <v>C903448</v>
      </c>
      <c r="B198" s="443" t="str">
        <f>IF(CODIGOS!$B199="","",CODIGOS!$B199)</f>
        <v>VACUNO HUACHALOMO</v>
      </c>
      <c r="C198" s="457" t="str">
        <f>IF(CODIGOS!$E199="","",CODIGOS!$E199)</f>
        <v>KG</v>
      </c>
      <c r="D198" s="452">
        <f>IF($A198="","",SUMIF(LUNES!$B:$B,$A198,LUNES!$D:$D))</f>
        <v>0</v>
      </c>
      <c r="E198" s="449">
        <f>IF($A198="","",SUMIF(MARTES!$B:$B,$A198,MARTES!$D:$D))</f>
        <v>0</v>
      </c>
      <c r="F198" s="449">
        <f>IF($A198="","",SUMIF(MIERCOLES!$B:$B,$A198,MIERCOLES!$D:$D))</f>
        <v>0</v>
      </c>
      <c r="G198" s="449">
        <f>IF($A198="","",SUMIF(JUEVES!$B:$B,$A198,JUEVES!$D:$D))</f>
        <v>0</v>
      </c>
      <c r="H198" s="449">
        <f>IF($A198="","",SUMIF(VIERNES!$B:$B,$A198,VIERNES!$D:$D))</f>
        <v>0</v>
      </c>
      <c r="I198" s="449">
        <f>IF($A198="","",SUMIF(SABADO!$B:$B,$A198,SABADO!$D:$D))</f>
        <v>0</v>
      </c>
      <c r="J198" s="459">
        <f>IF($A198="","",SUMIF(DOMINGO!$B:$B,$A198,DOMINGO!$D:$D))</f>
        <v>0</v>
      </c>
      <c r="K198" s="461">
        <f t="shared" si="6"/>
        <v>0</v>
      </c>
      <c r="L198" s="462">
        <f t="shared" si="7"/>
        <v>0</v>
      </c>
    </row>
    <row r="199" spans="1:12" x14ac:dyDescent="0.2">
      <c r="A199" s="456" t="str">
        <f>IF(CODIGOS!$A200="","",CODIGOS!$A200)</f>
        <v>V000323</v>
      </c>
      <c r="B199" s="443" t="str">
        <f>IF(CODIGOS!$B200="","",CODIGOS!$B200)</f>
        <v>VAINILLA</v>
      </c>
      <c r="C199" s="457" t="str">
        <f>IF(CODIGOS!$E200="","",CODIGOS!$E200)</f>
        <v>BT (100 cc)</v>
      </c>
      <c r="D199" s="452">
        <f>IF($A199="","",SUMIF(LUNES!$B:$B,$A199,LUNES!$D:$D))</f>
        <v>0</v>
      </c>
      <c r="E199" s="449">
        <f>IF($A199="","",SUMIF(MARTES!$B:$B,$A199,MARTES!$D:$D))</f>
        <v>0</v>
      </c>
      <c r="F199" s="449">
        <f>IF($A199="","",SUMIF(MIERCOLES!$B:$B,$A199,MIERCOLES!$D:$D))</f>
        <v>0</v>
      </c>
      <c r="G199" s="449">
        <f>IF($A199="","",SUMIF(JUEVES!$B:$B,$A199,JUEVES!$D:$D))</f>
        <v>0</v>
      </c>
      <c r="H199" s="449">
        <f>IF($A199="","",SUMIF(VIERNES!$B:$B,$A199,VIERNES!$D:$D))</f>
        <v>0</v>
      </c>
      <c r="I199" s="449">
        <f>IF($A199="","",SUMIF(SABADO!$B:$B,$A199,SABADO!$D:$D))</f>
        <v>0</v>
      </c>
      <c r="J199" s="459">
        <f>IF($A199="","",SUMIF(DOMINGO!$B:$B,$A199,DOMINGO!$D:$D))</f>
        <v>0</v>
      </c>
      <c r="K199" s="461">
        <f t="shared" si="6"/>
        <v>0</v>
      </c>
      <c r="L199" s="462">
        <f t="shared" si="7"/>
        <v>0</v>
      </c>
    </row>
    <row r="200" spans="1:12" x14ac:dyDescent="0.2">
      <c r="A200" s="456" t="str">
        <f>IF(CODIGOS!$A201="","",CODIGOS!$A201)</f>
        <v>V000642</v>
      </c>
      <c r="B200" s="443" t="str">
        <f>IF(CODIGOS!$B201="","",CODIGOS!$B201)</f>
        <v>ESCENCIA VAINILLA</v>
      </c>
      <c r="C200" s="457" t="str">
        <f>IF(CODIGOS!$E201="","",CODIGOS!$E201)</f>
        <v>LR(50 CC)</v>
      </c>
      <c r="D200" s="452">
        <f>IF($A200="","",SUMIF(LUNES!$B:$B,$A200,LUNES!$D:$D))</f>
        <v>0</v>
      </c>
      <c r="E200" s="449">
        <f>IF($A200="","",SUMIF(MARTES!$B:$B,$A200,MARTES!$D:$D))</f>
        <v>0</v>
      </c>
      <c r="F200" s="449">
        <f>IF($A200="","",SUMIF(MIERCOLES!$B:$B,$A200,MIERCOLES!$D:$D))</f>
        <v>0</v>
      </c>
      <c r="G200" s="449">
        <f>IF($A200="","",SUMIF(JUEVES!$B:$B,$A200,JUEVES!$D:$D))</f>
        <v>0</v>
      </c>
      <c r="H200" s="449">
        <f>IF($A200="","",SUMIF(VIERNES!$B:$B,$A200,VIERNES!$D:$D))</f>
        <v>0</v>
      </c>
      <c r="I200" s="449">
        <f>IF($A200="","",SUMIF(SABADO!$B:$B,$A200,SABADO!$D:$D))</f>
        <v>0</v>
      </c>
      <c r="J200" s="459">
        <f>IF($A200="","",SUMIF(DOMINGO!$B:$B,$A200,DOMINGO!$D:$D))</f>
        <v>0</v>
      </c>
      <c r="K200" s="461">
        <f t="shared" si="6"/>
        <v>0</v>
      </c>
      <c r="L200" s="462">
        <f t="shared" si="7"/>
        <v>0</v>
      </c>
    </row>
    <row r="201" spans="1:12" x14ac:dyDescent="0.2">
      <c r="A201" s="456" t="str">
        <f>IF(CODIGOS!$A202="","",CODIGOS!$A202)</f>
        <v>V000324</v>
      </c>
      <c r="B201" s="443" t="str">
        <f>IF(CODIGOS!$B202="","",CODIGOS!$B202)</f>
        <v>VIENESAS</v>
      </c>
      <c r="C201" s="457" t="str">
        <f>IF(CODIGOS!$E202="","",CODIGOS!$E202)</f>
        <v>KG</v>
      </c>
      <c r="D201" s="452">
        <f>IF($A201="","",SUMIF(LUNES!$B:$B,$A201,LUNES!$D:$D))</f>
        <v>4</v>
      </c>
      <c r="E201" s="449">
        <f>IF($A201="","",SUMIF(MARTES!$B:$B,$A201,MARTES!$D:$D))</f>
        <v>0</v>
      </c>
      <c r="F201" s="449">
        <f>IF($A201="","",SUMIF(MIERCOLES!$B:$B,$A201,MIERCOLES!$D:$D))</f>
        <v>0</v>
      </c>
      <c r="G201" s="449">
        <f>IF($A201="","",SUMIF(JUEVES!$B:$B,$A201,JUEVES!$D:$D))</f>
        <v>0</v>
      </c>
      <c r="H201" s="449">
        <f>IF($A201="","",SUMIF(VIERNES!$B:$B,$A201,VIERNES!$D:$D))</f>
        <v>0</v>
      </c>
      <c r="I201" s="449">
        <f>IF($A201="","",SUMIF(SABADO!$B:$B,$A201,SABADO!$D:$D))</f>
        <v>0</v>
      </c>
      <c r="J201" s="459">
        <f>IF($A201="","",SUMIF(DOMINGO!$B:$B,$A201,DOMINGO!$D:$D))</f>
        <v>0</v>
      </c>
      <c r="K201" s="461">
        <f t="shared" si="6"/>
        <v>4</v>
      </c>
      <c r="L201" s="462">
        <f t="shared" si="7"/>
        <v>16</v>
      </c>
    </row>
    <row r="202" spans="1:12" x14ac:dyDescent="0.2">
      <c r="A202" s="456" t="str">
        <f>IF(CODIGOS!$A203="","",CODIGOS!$A203)</f>
        <v>V000453</v>
      </c>
      <c r="B202" s="443" t="str">
        <f>IF(CODIGOS!$B203="","",CODIGOS!$B203)</f>
        <v>VINAGRE</v>
      </c>
      <c r="C202" s="457" t="str">
        <f>IF(CODIGOS!$E203="","",CODIGOS!$E203)</f>
        <v>BT (500 cc)</v>
      </c>
      <c r="D202" s="452">
        <f>IF($A202="","",SUMIF(LUNES!$B:$B,$A202,LUNES!$D:$D))</f>
        <v>0</v>
      </c>
      <c r="E202" s="449">
        <f>IF($A202="","",SUMIF(MARTES!$B:$B,$A202,MARTES!$D:$D))</f>
        <v>0</v>
      </c>
      <c r="F202" s="449">
        <f>IF($A202="","",SUMIF(MIERCOLES!$B:$B,$A202,MIERCOLES!$D:$D))</f>
        <v>0</v>
      </c>
      <c r="G202" s="449">
        <f>IF($A202="","",SUMIF(JUEVES!$B:$B,$A202,JUEVES!$D:$D))</f>
        <v>0</v>
      </c>
      <c r="H202" s="449">
        <f>IF($A202="","",SUMIF(VIERNES!$B:$B,$A202,VIERNES!$D:$D))</f>
        <v>0</v>
      </c>
      <c r="I202" s="449">
        <f>IF($A202="","",SUMIF(SABADO!$B:$B,$A202,SABADO!$D:$D))</f>
        <v>0</v>
      </c>
      <c r="J202" s="459">
        <f>IF($A202="","",SUMIF(DOMINGO!$B:$B,$A202,DOMINGO!$D:$D))</f>
        <v>0</v>
      </c>
      <c r="K202" s="461">
        <f t="shared" si="6"/>
        <v>0</v>
      </c>
      <c r="L202" s="462">
        <f t="shared" si="7"/>
        <v>0</v>
      </c>
    </row>
    <row r="203" spans="1:12" x14ac:dyDescent="0.2">
      <c r="A203" s="456" t="str">
        <f>IF(CODIGOS!$A204="","",CODIGOS!$A204)</f>
        <v>V000755</v>
      </c>
      <c r="B203" s="443" t="str">
        <f>IF(CODIGOS!$B204="","",CODIGOS!$B204)</f>
        <v>YOGURT LIGHT</v>
      </c>
      <c r="C203" s="457" t="str">
        <f>IF(CODIGOS!$E204="","",CODIGOS!$E204)</f>
        <v>NR (125 g)</v>
      </c>
      <c r="D203" s="452">
        <f>IF($A203="","",SUMIF(LUNES!$B:$B,$A203,LUNES!$D:$D))</f>
        <v>0</v>
      </c>
      <c r="E203" s="449">
        <f>IF($A203="","",SUMIF(MARTES!$B:$B,$A203,MARTES!$D:$D))</f>
        <v>0</v>
      </c>
      <c r="F203" s="449">
        <f>IF($A203="","",SUMIF(MIERCOLES!$B:$B,$A203,MIERCOLES!$D:$D))</f>
        <v>0</v>
      </c>
      <c r="G203" s="449">
        <f>IF($A203="","",SUMIF(JUEVES!$B:$B,$A203,JUEVES!$D:$D))</f>
        <v>0</v>
      </c>
      <c r="H203" s="449">
        <f>IF($A203="","",SUMIF(VIERNES!$B:$B,$A203,VIERNES!$D:$D))</f>
        <v>0</v>
      </c>
      <c r="I203" s="449">
        <f>IF($A203="","",SUMIF(SABADO!$B:$B,$A203,SABADO!$D:$D))</f>
        <v>0</v>
      </c>
      <c r="J203" s="459">
        <f>IF($A203="","",SUMIF(DOMINGO!$B:$B,$A203,DOMINGO!$D:$D))</f>
        <v>0</v>
      </c>
      <c r="K203" s="461">
        <f t="shared" si="6"/>
        <v>0</v>
      </c>
      <c r="L203" s="462">
        <f t="shared" si="7"/>
        <v>0</v>
      </c>
    </row>
    <row r="204" spans="1:12" x14ac:dyDescent="0.2">
      <c r="A204" s="456" t="str">
        <f>IF(CODIGOS!$A205="","",CODIGOS!$A205)</f>
        <v>V000330</v>
      </c>
      <c r="B204" s="443" t="str">
        <f>IF(CODIGOS!$B205="","",CODIGOS!$B205)</f>
        <v>ZANAHORIA</v>
      </c>
      <c r="C204" s="457" t="str">
        <f>IF(CODIGOS!$E205="","",CODIGOS!$E205)</f>
        <v>KG</v>
      </c>
      <c r="D204" s="452">
        <f>IF($A204="","",SUMIF(LUNES!$B:$B,$A204,LUNES!$D:$D))</f>
        <v>5.6</v>
      </c>
      <c r="E204" s="449">
        <f>IF($A204="","",SUMIF(MARTES!$B:$B,$A204,MARTES!$D:$D))</f>
        <v>5.6</v>
      </c>
      <c r="F204" s="449">
        <f>IF($A204="","",SUMIF(MIERCOLES!$B:$B,$A204,MIERCOLES!$D:$D))</f>
        <v>1.6</v>
      </c>
      <c r="G204" s="449">
        <f>IF($A204="","",SUMIF(JUEVES!$B:$B,$A204,JUEVES!$D:$D))</f>
        <v>7.2</v>
      </c>
      <c r="H204" s="449">
        <f>IF($A204="","",SUMIF(VIERNES!$B:$B,$A204,VIERNES!$D:$D))</f>
        <v>1.2</v>
      </c>
      <c r="I204" s="449">
        <f>IF($A204="","",SUMIF(SABADO!$B:$B,$A204,SABADO!$D:$D))</f>
        <v>0.8</v>
      </c>
      <c r="J204" s="459">
        <f>IF($A204="","",SUMIF(DOMINGO!$B:$B,$A204,DOMINGO!$D:$D))</f>
        <v>1.6</v>
      </c>
      <c r="K204" s="461">
        <f t="shared" si="6"/>
        <v>23.6</v>
      </c>
      <c r="L204" s="462">
        <f t="shared" si="7"/>
        <v>94.4</v>
      </c>
    </row>
    <row r="205" spans="1:12" x14ac:dyDescent="0.2">
      <c r="A205" s="456" t="str">
        <f>IF(CODIGOS!$A206="","",CODIGOS!$A206)</f>
        <v>V000332</v>
      </c>
      <c r="B205" s="443" t="str">
        <f>IF(CODIGOS!$B206="","",CODIGOS!$B206)</f>
        <v>ZAPALLO</v>
      </c>
      <c r="C205" s="457" t="str">
        <f>IF(CODIGOS!$E206="","",CODIGOS!$E206)</f>
        <v>KG</v>
      </c>
      <c r="D205" s="452">
        <f>IF($A205="","",SUMIF(LUNES!$B:$B,$A205,LUNES!$D:$D))</f>
        <v>0</v>
      </c>
      <c r="E205" s="449">
        <f>IF($A205="","",SUMIF(MARTES!$B:$B,$A205,MARTES!$D:$D))</f>
        <v>14</v>
      </c>
      <c r="F205" s="449">
        <f>IF($A205="","",SUMIF(MIERCOLES!$B:$B,$A205,MIERCOLES!$D:$D))</f>
        <v>1.2</v>
      </c>
      <c r="G205" s="449">
        <f>IF($A205="","",SUMIF(JUEVES!$B:$B,$A205,JUEVES!$D:$D))</f>
        <v>10</v>
      </c>
      <c r="H205" s="449">
        <f>IF($A205="","",SUMIF(VIERNES!$B:$B,$A205,VIERNES!$D:$D))</f>
        <v>0</v>
      </c>
      <c r="I205" s="449">
        <f>IF($A205="","",SUMIF(SABADO!$B:$B,$A205,SABADO!$D:$D))</f>
        <v>0</v>
      </c>
      <c r="J205" s="459">
        <f>IF($A205="","",SUMIF(DOMINGO!$B:$B,$A205,DOMINGO!$D:$D))</f>
        <v>0</v>
      </c>
      <c r="K205" s="461">
        <f t="shared" si="6"/>
        <v>25.2</v>
      </c>
      <c r="L205" s="462">
        <f t="shared" si="7"/>
        <v>100.8</v>
      </c>
    </row>
    <row r="206" spans="1:12" x14ac:dyDescent="0.2">
      <c r="A206" s="456" t="str">
        <f>IF(CODIGOS!$A207="","",CODIGOS!$A207)</f>
        <v>V000333</v>
      </c>
      <c r="B206" s="443" t="str">
        <f>IF(CODIGOS!$B207="","",CODIGOS!$B207)</f>
        <v>ZAPALLOS ITALIANOS NR</v>
      </c>
      <c r="C206" s="457" t="str">
        <f>IF(CODIGOS!$E207="","",CODIGOS!$E207)</f>
        <v>NR (250 g)</v>
      </c>
      <c r="D206" s="452">
        <f>IF($A206="","",SUMIF(LUNES!$B:$B,$A206,LUNES!$D:$D))</f>
        <v>0</v>
      </c>
      <c r="E206" s="449">
        <f>IF($A206="","",SUMIF(MARTES!$B:$B,$A206,MARTES!$D:$D))</f>
        <v>0</v>
      </c>
      <c r="F206" s="449">
        <f>IF($A206="","",SUMIF(MIERCOLES!$B:$B,$A206,MIERCOLES!$D:$D))</f>
        <v>2.4</v>
      </c>
      <c r="G206" s="449">
        <f>IF($A206="","",SUMIF(JUEVES!$B:$B,$A206,JUEVES!$D:$D))</f>
        <v>3.2</v>
      </c>
      <c r="H206" s="449">
        <f>IF($A206="","",SUMIF(VIERNES!$B:$B,$A206,VIERNES!$D:$D))</f>
        <v>8</v>
      </c>
      <c r="I206" s="449">
        <f>IF($A206="","",SUMIF(SABADO!$B:$B,$A206,SABADO!$D:$D))</f>
        <v>0</v>
      </c>
      <c r="J206" s="459">
        <f>IF($A206="","",SUMIF(DOMINGO!$B:$B,$A206,DOMINGO!$D:$D))</f>
        <v>0</v>
      </c>
      <c r="K206" s="461">
        <f t="shared" si="6"/>
        <v>13.6</v>
      </c>
      <c r="L206" s="462">
        <f t="shared" si="7"/>
        <v>54.4</v>
      </c>
    </row>
    <row r="207" spans="1:12" x14ac:dyDescent="0.2">
      <c r="A207" s="456" t="str">
        <f>IF(CODIGOS!$A208="","",CODIGOS!$A208)</f>
        <v/>
      </c>
      <c r="B207" s="443" t="str">
        <f>IF(CODIGOS!$B208="","",CODIGOS!$B208)</f>
        <v/>
      </c>
      <c r="C207" s="457" t="str">
        <f>IF(CODIGOS!$E208="","",CODIGOS!$E208)</f>
        <v/>
      </c>
      <c r="D207" s="452" t="str">
        <f>IF($A207="","",SUMIF(LUNES!$B:$B,$A207,LUNES!$D:$D))</f>
        <v/>
      </c>
      <c r="E207" s="449" t="str">
        <f>IF($A207="","",SUMIF(MARTES!$B:$B,$A207,MARTES!$D:$D))</f>
        <v/>
      </c>
      <c r="F207" s="449" t="str">
        <f>IF($A207="","",SUMIF(MIERCOLES!$B:$B,$A207,MIERCOLES!$D:$D))</f>
        <v/>
      </c>
      <c r="G207" s="449" t="str">
        <f>IF($A207="","",SUMIF(JUEVES!$B:$B,$A207,JUEVES!$D:$D))</f>
        <v/>
      </c>
      <c r="H207" s="449" t="str">
        <f>IF($A207="","",SUMIF(VIERNES!$B:$B,$A207,VIERNES!$D:$D))</f>
        <v/>
      </c>
      <c r="I207" s="449" t="str">
        <f>IF($A207="","",SUMIF(SABADO!$B:$B,$A207,SABADO!$D:$D))</f>
        <v/>
      </c>
      <c r="J207" s="459" t="str">
        <f>IF($A207="","",SUMIF(DOMINGO!$B:$B,$A207,DOMINGO!$D:$D))</f>
        <v/>
      </c>
      <c r="K207" s="461" t="str">
        <f t="shared" si="6"/>
        <v/>
      </c>
      <c r="L207" s="462" t="str">
        <f t="shared" si="7"/>
        <v/>
      </c>
    </row>
    <row r="208" spans="1:12" x14ac:dyDescent="0.2">
      <c r="A208" s="456" t="str">
        <f>IF(CODIGOS!$A209="","",CODIGOS!$A209)</f>
        <v/>
      </c>
      <c r="B208" s="443" t="str">
        <f>IF(CODIGOS!$B209="","",CODIGOS!$B209)</f>
        <v/>
      </c>
      <c r="C208" s="457" t="str">
        <f>IF(CODIGOS!$E209="","",CODIGOS!$E209)</f>
        <v/>
      </c>
      <c r="D208" s="452" t="str">
        <f>IF($A208="","",SUMIF(LUNES!$B:$B,$A208,LUNES!$D:$D))</f>
        <v/>
      </c>
      <c r="E208" s="449" t="str">
        <f>IF($A208="","",SUMIF(MARTES!$B:$B,$A208,MARTES!$D:$D))</f>
        <v/>
      </c>
      <c r="F208" s="449" t="str">
        <f>IF($A208="","",SUMIF(MIERCOLES!$B:$B,$A208,MIERCOLES!$D:$D))</f>
        <v/>
      </c>
      <c r="G208" s="449" t="str">
        <f>IF($A208="","",SUMIF(JUEVES!$B:$B,$A208,JUEVES!$D:$D))</f>
        <v/>
      </c>
      <c r="H208" s="449" t="str">
        <f>IF($A208="","",SUMIF(VIERNES!$B:$B,$A208,VIERNES!$D:$D))</f>
        <v/>
      </c>
      <c r="I208" s="449" t="str">
        <f>IF($A208="","",SUMIF(SABADO!$B:$B,$A208,SABADO!$D:$D))</f>
        <v/>
      </c>
      <c r="J208" s="459" t="str">
        <f>IF($A208="","",SUMIF(DOMINGO!$B:$B,$A208,DOMINGO!$D:$D))</f>
        <v/>
      </c>
      <c r="K208" s="461" t="str">
        <f t="shared" si="6"/>
        <v/>
      </c>
      <c r="L208" s="462" t="str">
        <f t="shared" si="7"/>
        <v/>
      </c>
    </row>
  </sheetData>
  <mergeCells count="2">
    <mergeCell ref="D2:K2"/>
    <mergeCell ref="L2:L3"/>
  </mergeCells>
  <phoneticPr fontId="3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30"/>
  <sheetViews>
    <sheetView showGridLines="0" topLeftCell="A115" workbookViewId="0">
      <selection activeCell="D4" sqref="D4"/>
    </sheetView>
  </sheetViews>
  <sheetFormatPr baseColWidth="10" defaultColWidth="11.42578125" defaultRowHeight="12.75" x14ac:dyDescent="0.2"/>
  <cols>
    <col min="1" max="1" width="8" style="316" customWidth="1"/>
    <col min="2" max="2" width="32.7109375" style="316" customWidth="1"/>
    <col min="3" max="3" width="7.7109375" style="316" bestFit="1" customWidth="1"/>
    <col min="4" max="4" width="11.28515625" style="317" bestFit="1" customWidth="1"/>
    <col min="5" max="16384" width="11.42578125" style="316"/>
  </cols>
  <sheetData>
    <row r="1" spans="1:4" x14ac:dyDescent="0.2">
      <c r="A1" s="605" t="s">
        <v>2261</v>
      </c>
      <c r="B1" s="605"/>
      <c r="C1" s="605"/>
      <c r="D1" s="605"/>
    </row>
    <row r="3" spans="1:4" ht="13.5" thickBot="1" x14ac:dyDescent="0.25"/>
    <row r="4" spans="1:4" ht="13.5" thickBot="1" x14ac:dyDescent="0.25">
      <c r="A4" s="318" t="s">
        <v>924</v>
      </c>
      <c r="B4" s="318" t="s">
        <v>17</v>
      </c>
      <c r="C4" s="318" t="s">
        <v>925</v>
      </c>
      <c r="D4" s="400" t="s">
        <v>926</v>
      </c>
    </row>
    <row r="5" spans="1:4" x14ac:dyDescent="0.2">
      <c r="A5" s="319" t="s">
        <v>1255</v>
      </c>
      <c r="B5" s="320" t="s">
        <v>1256</v>
      </c>
      <c r="C5" s="319" t="s">
        <v>111</v>
      </c>
      <c r="D5" s="401" t="str">
        <f>IFERROR(ROUND(AVERAGEIFS('PRECIOS VICTOR'!$D:$D,'PRECIOS VICTOR'!$A:$A,$A5),0),"")</f>
        <v/>
      </c>
    </row>
    <row r="6" spans="1:4" x14ac:dyDescent="0.2">
      <c r="A6" s="319" t="s">
        <v>1257</v>
      </c>
      <c r="B6" s="320" t="s">
        <v>1258</v>
      </c>
      <c r="C6" s="319" t="s">
        <v>942</v>
      </c>
      <c r="D6" s="321" t="str">
        <f>IFERROR(ROUND(AVERAGEIFS('PRECIOS VICTOR'!$D:$D,'PRECIOS VICTOR'!$A:$A,$A6),0),"")</f>
        <v/>
      </c>
    </row>
    <row r="7" spans="1:4" x14ac:dyDescent="0.2">
      <c r="A7" s="319" t="s">
        <v>49</v>
      </c>
      <c r="B7" s="320" t="s">
        <v>123</v>
      </c>
      <c r="C7" s="319" t="s">
        <v>15</v>
      </c>
      <c r="D7" s="321">
        <f>IFERROR(ROUND(AVERAGEIFS('PRECIOS VICTOR'!$D:$D,'PRECIOS VICTOR'!$A:$A,$A7),0),"")</f>
        <v>5593</v>
      </c>
    </row>
    <row r="8" spans="1:4" x14ac:dyDescent="0.2">
      <c r="A8" s="319" t="s">
        <v>941</v>
      </c>
      <c r="B8" s="320" t="s">
        <v>123</v>
      </c>
      <c r="C8" s="319" t="s">
        <v>942</v>
      </c>
      <c r="D8" s="321" t="str">
        <f>IFERROR(ROUND(AVERAGEIFS('PRECIOS VICTOR'!$D:$D,'PRECIOS VICTOR'!$A:$A,$A8),0),"")</f>
        <v/>
      </c>
    </row>
    <row r="9" spans="1:4" x14ac:dyDescent="0.2">
      <c r="A9" s="319" t="s">
        <v>50</v>
      </c>
      <c r="B9" s="320" t="s">
        <v>124</v>
      </c>
      <c r="C9" s="319" t="s">
        <v>202</v>
      </c>
      <c r="D9" s="321">
        <f>IFERROR(ROUND(AVERAGEIFS('PRECIOS VICTOR'!$D:$D,'PRECIOS VICTOR'!$A:$A,$A9),0),"")</f>
        <v>946</v>
      </c>
    </row>
    <row r="10" spans="1:4" x14ac:dyDescent="0.2">
      <c r="A10" s="319" t="s">
        <v>659</v>
      </c>
      <c r="B10" s="320" t="s">
        <v>658</v>
      </c>
      <c r="C10" s="319" t="s">
        <v>947</v>
      </c>
      <c r="D10" s="321">
        <f>IFERROR(ROUND(AVERAGEIFS('PRECIOS VICTOR'!$D:$D,'PRECIOS VICTOR'!$A:$A,$A10),0),"")</f>
        <v>489</v>
      </c>
    </row>
    <row r="11" spans="1:4" x14ac:dyDescent="0.2">
      <c r="A11" s="319" t="s">
        <v>52</v>
      </c>
      <c r="B11" s="320" t="s">
        <v>51</v>
      </c>
      <c r="C11" s="319" t="s">
        <v>15</v>
      </c>
      <c r="D11" s="321">
        <f>IFERROR(ROUND(AVERAGEIFS('PRECIOS VICTOR'!$D:$D,'PRECIOS VICTOR'!$A:$A,$A11),0),"")</f>
        <v>5180</v>
      </c>
    </row>
    <row r="12" spans="1:4" x14ac:dyDescent="0.2">
      <c r="A12" s="319" t="s">
        <v>86</v>
      </c>
      <c r="B12" s="320" t="s">
        <v>28</v>
      </c>
      <c r="C12" s="319" t="s">
        <v>15</v>
      </c>
      <c r="D12" s="321">
        <f>IFERROR(ROUND(AVERAGEIFS('PRECIOS VICTOR'!$D:$D,'PRECIOS VICTOR'!$A:$A,$A12),0),"")</f>
        <v>1979</v>
      </c>
    </row>
    <row r="13" spans="1:4" x14ac:dyDescent="0.2">
      <c r="A13" s="319" t="s">
        <v>1259</v>
      </c>
      <c r="B13" s="320" t="s">
        <v>28</v>
      </c>
      <c r="C13" s="319" t="s">
        <v>956</v>
      </c>
      <c r="D13" s="321" t="str">
        <f>IFERROR(ROUND(AVERAGEIFS('PRECIOS VICTOR'!$D:$D,'PRECIOS VICTOR'!$A:$A,$A13),0),"")</f>
        <v/>
      </c>
    </row>
    <row r="14" spans="1:4" x14ac:dyDescent="0.2">
      <c r="A14" s="319" t="s">
        <v>661</v>
      </c>
      <c r="B14" s="320" t="s">
        <v>504</v>
      </c>
      <c r="C14" s="319" t="s">
        <v>956</v>
      </c>
      <c r="D14" s="321">
        <f>IFERROR(ROUND(AVERAGEIFS('PRECIOS VICTOR'!$D:$D,'PRECIOS VICTOR'!$A:$A,$A14),0),"")</f>
        <v>189</v>
      </c>
    </row>
    <row r="15" spans="1:4" x14ac:dyDescent="0.2">
      <c r="A15" s="319" t="s">
        <v>92</v>
      </c>
      <c r="B15" s="320" t="s">
        <v>147</v>
      </c>
      <c r="C15" s="319" t="s">
        <v>111</v>
      </c>
      <c r="D15" s="321">
        <f>IFERROR(ROUND(AVERAGEIFS('PRECIOS VICTOR'!$D:$D,'PRECIOS VICTOR'!$A:$A,$A15),0),"")</f>
        <v>297</v>
      </c>
    </row>
    <row r="16" spans="1:4" x14ac:dyDescent="0.2">
      <c r="A16" s="319" t="s">
        <v>662</v>
      </c>
      <c r="B16" s="320" t="s">
        <v>471</v>
      </c>
      <c r="C16" s="319" t="s">
        <v>202</v>
      </c>
      <c r="D16" s="321">
        <f>IFERROR(ROUND(AVERAGEIFS('PRECIOS VICTOR'!$D:$D,'PRECIOS VICTOR'!$A:$A,$A16),0),"")</f>
        <v>885</v>
      </c>
    </row>
    <row r="17" spans="1:4" x14ac:dyDescent="0.2">
      <c r="A17" s="319" t="s">
        <v>1260</v>
      </c>
      <c r="B17" s="320" t="s">
        <v>1261</v>
      </c>
      <c r="C17" s="319" t="s">
        <v>111</v>
      </c>
      <c r="D17" s="321" t="str">
        <f>IFERROR(ROUND(AVERAGEIFS('PRECIOS VICTOR'!$D:$D,'PRECIOS VICTOR'!$A:$A,$A17),0),"")</f>
        <v/>
      </c>
    </row>
    <row r="18" spans="1:4" x14ac:dyDescent="0.2">
      <c r="A18" s="319" t="s">
        <v>0</v>
      </c>
      <c r="B18" s="320" t="s">
        <v>955</v>
      </c>
      <c r="C18" s="319" t="s">
        <v>956</v>
      </c>
      <c r="D18" s="321" t="str">
        <f>IFERROR(ROUND(AVERAGEIFS('PRECIOS VICTOR'!$D:$D,'PRECIOS VICTOR'!$A:$A,$A18),0),"")</f>
        <v/>
      </c>
    </row>
    <row r="19" spans="1:4" x14ac:dyDescent="0.2">
      <c r="A19" s="319" t="s">
        <v>83</v>
      </c>
      <c r="B19" s="320" t="s">
        <v>957</v>
      </c>
      <c r="C19" s="319" t="s">
        <v>15</v>
      </c>
      <c r="D19" s="321">
        <f>IFERROR(ROUND(AVERAGEIFS('PRECIOS VICTOR'!$D:$D,'PRECIOS VICTOR'!$A:$A,$A19),0),"")</f>
        <v>8568</v>
      </c>
    </row>
    <row r="20" spans="1:4" x14ac:dyDescent="0.2">
      <c r="A20" s="319" t="s">
        <v>1262</v>
      </c>
      <c r="B20" s="320" t="s">
        <v>507</v>
      </c>
      <c r="C20" s="319" t="s">
        <v>906</v>
      </c>
      <c r="D20" s="321" t="str">
        <f>IFERROR(ROUND(AVERAGEIFS('PRECIOS VICTOR'!$D:$D,'PRECIOS VICTOR'!$A:$A,$A20),0),"")</f>
        <v/>
      </c>
    </row>
    <row r="21" spans="1:4" x14ac:dyDescent="0.2">
      <c r="A21" s="319" t="s">
        <v>1263</v>
      </c>
      <c r="B21" s="320" t="s">
        <v>1264</v>
      </c>
      <c r="C21" s="319" t="s">
        <v>906</v>
      </c>
      <c r="D21" s="321" t="str">
        <f>IFERROR(ROUND(AVERAGEIFS('PRECIOS VICTOR'!$D:$D,'PRECIOS VICTOR'!$A:$A,$A21),0),"")</f>
        <v/>
      </c>
    </row>
    <row r="22" spans="1:4" x14ac:dyDescent="0.2">
      <c r="A22" s="319" t="s">
        <v>958</v>
      </c>
      <c r="B22" s="320" t="s">
        <v>959</v>
      </c>
      <c r="C22" s="319" t="s">
        <v>942</v>
      </c>
      <c r="D22" s="321" t="str">
        <f>IFERROR(ROUND(AVERAGEIFS('PRECIOS VICTOR'!$D:$D,'PRECIOS VICTOR'!$A:$A,$A22),0),"")</f>
        <v/>
      </c>
    </row>
    <row r="23" spans="1:4" x14ac:dyDescent="0.2">
      <c r="A23" s="319" t="s">
        <v>1265</v>
      </c>
      <c r="B23" s="320" t="s">
        <v>1266</v>
      </c>
      <c r="C23" s="319" t="s">
        <v>942</v>
      </c>
      <c r="D23" s="321">
        <f>IFERROR(ROUND(AVERAGEIFS('PRECIOS VICTOR'!$D:$D,'PRECIOS VICTOR'!$A:$A,$A23),0),"")</f>
        <v>1654</v>
      </c>
    </row>
    <row r="24" spans="1:4" x14ac:dyDescent="0.2">
      <c r="A24" s="319" t="s">
        <v>1267</v>
      </c>
      <c r="B24" s="320" t="s">
        <v>1268</v>
      </c>
      <c r="C24" s="319" t="s">
        <v>942</v>
      </c>
      <c r="D24" s="321" t="str">
        <f>IFERROR(ROUND(AVERAGEIFS('PRECIOS VICTOR'!$D:$D,'PRECIOS VICTOR'!$A:$A,$A24),0),"")</f>
        <v/>
      </c>
    </row>
    <row r="25" spans="1:4" x14ac:dyDescent="0.2">
      <c r="A25" s="319" t="s">
        <v>668</v>
      </c>
      <c r="B25" s="320" t="s">
        <v>510</v>
      </c>
      <c r="C25" s="319" t="s">
        <v>906</v>
      </c>
      <c r="D25" s="321" t="str">
        <f>IFERROR(ROUND(AVERAGEIFS('PRECIOS VICTOR'!$D:$D,'PRECIOS VICTOR'!$A:$A,$A25),0),"")</f>
        <v/>
      </c>
    </row>
    <row r="26" spans="1:4" x14ac:dyDescent="0.2">
      <c r="A26" s="319" t="s">
        <v>669</v>
      </c>
      <c r="B26" s="320" t="s">
        <v>182</v>
      </c>
      <c r="C26" s="319" t="s">
        <v>15</v>
      </c>
      <c r="D26" s="321" t="str">
        <f>IFERROR(ROUND(AVERAGEIFS('PRECIOS VICTOR'!$D:$D,'PRECIOS VICTOR'!$A:$A,$A26),0),"")</f>
        <v/>
      </c>
    </row>
    <row r="27" spans="1:4" x14ac:dyDescent="0.2">
      <c r="A27" s="319" t="s">
        <v>679</v>
      </c>
      <c r="B27" s="320" t="s">
        <v>512</v>
      </c>
      <c r="C27" s="319" t="s">
        <v>947</v>
      </c>
      <c r="D27" s="321" t="str">
        <f>IFERROR(ROUND(AVERAGEIFS('PRECIOS VICTOR'!$D:$D,'PRECIOS VICTOR'!$A:$A,$A27),0),"")</f>
        <v/>
      </c>
    </row>
    <row r="28" spans="1:4" x14ac:dyDescent="0.2">
      <c r="A28" s="319" t="s">
        <v>192</v>
      </c>
      <c r="B28" s="320" t="s">
        <v>960</v>
      </c>
      <c r="C28" s="319" t="s">
        <v>202</v>
      </c>
      <c r="D28" s="321">
        <f>IFERROR(ROUND(AVERAGEIFS('PRECIOS VICTOR'!$D:$D,'PRECIOS VICTOR'!$A:$A,$A28),0),"")</f>
        <v>1311</v>
      </c>
    </row>
    <row r="29" spans="1:4" x14ac:dyDescent="0.2">
      <c r="A29" s="319" t="s">
        <v>136</v>
      </c>
      <c r="B29" s="320" t="s">
        <v>137</v>
      </c>
      <c r="C29" s="319" t="s">
        <v>111</v>
      </c>
      <c r="D29" s="321">
        <f>IFERROR(ROUND(AVERAGEIFS('PRECIOS VICTOR'!$D:$D,'PRECIOS VICTOR'!$A:$A,$A29),0),"")</f>
        <v>1450</v>
      </c>
    </row>
    <row r="30" spans="1:4" x14ac:dyDescent="0.2">
      <c r="A30" s="319" t="s">
        <v>682</v>
      </c>
      <c r="B30" s="320" t="s">
        <v>1269</v>
      </c>
      <c r="C30" s="319" t="s">
        <v>15</v>
      </c>
      <c r="D30" s="321">
        <f>IFERROR(ROUND(AVERAGEIFS('PRECIOS VICTOR'!$D:$D,'PRECIOS VICTOR'!$A:$A,$A30),0),"")</f>
        <v>2886</v>
      </c>
    </row>
    <row r="31" spans="1:4" x14ac:dyDescent="0.2">
      <c r="A31" s="319" t="s">
        <v>1270</v>
      </c>
      <c r="B31" s="320" t="s">
        <v>1271</v>
      </c>
      <c r="C31" s="319" t="s">
        <v>942</v>
      </c>
      <c r="D31" s="321" t="str">
        <f>IFERROR(ROUND(AVERAGEIFS('PRECIOS VICTOR'!$D:$D,'PRECIOS VICTOR'!$A:$A,$A31),0),"")</f>
        <v/>
      </c>
    </row>
    <row r="32" spans="1:4" x14ac:dyDescent="0.2">
      <c r="A32" s="319" t="s">
        <v>687</v>
      </c>
      <c r="B32" s="320" t="s">
        <v>517</v>
      </c>
      <c r="C32" s="319" t="s">
        <v>942</v>
      </c>
      <c r="D32" s="321">
        <f>IFERROR(ROUND(AVERAGEIFS('PRECIOS VICTOR'!$D:$D,'PRECIOS VICTOR'!$A:$A,$A32),0),"")</f>
        <v>11220</v>
      </c>
    </row>
    <row r="33" spans="1:4" x14ac:dyDescent="0.2">
      <c r="A33" s="319" t="s">
        <v>685</v>
      </c>
      <c r="B33" s="320" t="s">
        <v>684</v>
      </c>
      <c r="C33" s="319" t="s">
        <v>906</v>
      </c>
      <c r="D33" s="321" t="str">
        <f>IFERROR(ROUND(AVERAGEIFS('PRECIOS VICTOR'!$D:$D,'PRECIOS VICTOR'!$A:$A,$A33),0),"")</f>
        <v/>
      </c>
    </row>
    <row r="34" spans="1:4" x14ac:dyDescent="0.2">
      <c r="A34" s="319" t="s">
        <v>1272</v>
      </c>
      <c r="B34" s="320" t="s">
        <v>1273</v>
      </c>
      <c r="C34" s="319" t="s">
        <v>15</v>
      </c>
      <c r="D34" s="321" t="str">
        <f>IFERROR(ROUND(AVERAGEIFS('PRECIOS VICTOR'!$D:$D,'PRECIOS VICTOR'!$A:$A,$A34),0),"")</f>
        <v/>
      </c>
    </row>
    <row r="35" spans="1:4" x14ac:dyDescent="0.2">
      <c r="A35" s="319" t="s">
        <v>1274</v>
      </c>
      <c r="B35" s="320" t="s">
        <v>1275</v>
      </c>
      <c r="C35" s="319" t="s">
        <v>15</v>
      </c>
      <c r="D35" s="321" t="str">
        <f>IFERROR(ROUND(AVERAGEIFS('PRECIOS VICTOR'!$D:$D,'PRECIOS VICTOR'!$A:$A,$A35),0),"")</f>
        <v/>
      </c>
    </row>
    <row r="36" spans="1:4" x14ac:dyDescent="0.2">
      <c r="A36" s="319" t="s">
        <v>961</v>
      </c>
      <c r="B36" s="320" t="s">
        <v>962</v>
      </c>
      <c r="C36" s="319" t="s">
        <v>15</v>
      </c>
      <c r="D36" s="321">
        <f>IFERROR(ROUND(AVERAGEIFS('PRECIOS VICTOR'!$D:$D,'PRECIOS VICTOR'!$A:$A,$A36),0),"")</f>
        <v>31890</v>
      </c>
    </row>
    <row r="37" spans="1:4" x14ac:dyDescent="0.2">
      <c r="A37" s="319" t="s">
        <v>252</v>
      </c>
      <c r="B37" s="320" t="s">
        <v>251</v>
      </c>
      <c r="C37" s="319" t="s">
        <v>906</v>
      </c>
      <c r="D37" s="321">
        <f>IFERROR(ROUND(AVERAGEIFS('PRECIOS VICTOR'!$D:$D,'PRECIOS VICTOR'!$A:$A,$A37),0),"")</f>
        <v>8000</v>
      </c>
    </row>
    <row r="38" spans="1:4" x14ac:dyDescent="0.2">
      <c r="A38" s="319" t="s">
        <v>963</v>
      </c>
      <c r="B38" s="320" t="s">
        <v>964</v>
      </c>
      <c r="C38" s="319" t="s">
        <v>111</v>
      </c>
      <c r="D38" s="321" t="str">
        <f>IFERROR(ROUND(AVERAGEIFS('PRECIOS VICTOR'!$D:$D,'PRECIOS VICTOR'!$A:$A,$A38),0),"")</f>
        <v/>
      </c>
    </row>
    <row r="39" spans="1:4" x14ac:dyDescent="0.2">
      <c r="A39" s="319" t="s">
        <v>1276</v>
      </c>
      <c r="B39" s="320" t="s">
        <v>1277</v>
      </c>
      <c r="C39" s="319" t="s">
        <v>906</v>
      </c>
      <c r="D39" s="321" t="str">
        <f>IFERROR(ROUND(AVERAGEIFS('PRECIOS VICTOR'!$D:$D,'PRECIOS VICTOR'!$A:$A,$A39),0),"")</f>
        <v/>
      </c>
    </row>
    <row r="40" spans="1:4" x14ac:dyDescent="0.2">
      <c r="A40" s="319" t="s">
        <v>694</v>
      </c>
      <c r="B40" s="320" t="s">
        <v>521</v>
      </c>
      <c r="C40" s="319" t="s">
        <v>15</v>
      </c>
      <c r="D40" s="321" t="str">
        <f>IFERROR(ROUND(AVERAGEIFS('PRECIOS VICTOR'!$D:$D,'PRECIOS VICTOR'!$A:$A,$A40),0),"")</f>
        <v/>
      </c>
    </row>
    <row r="41" spans="1:4" x14ac:dyDescent="0.2">
      <c r="A41" s="319" t="s">
        <v>965</v>
      </c>
      <c r="B41" s="320" t="s">
        <v>966</v>
      </c>
      <c r="C41" s="319" t="s">
        <v>942</v>
      </c>
      <c r="D41" s="321" t="str">
        <f>IFERROR(ROUND(AVERAGEIFS('PRECIOS VICTOR'!$D:$D,'PRECIOS VICTOR'!$A:$A,$A41),0),"")</f>
        <v/>
      </c>
    </row>
    <row r="42" spans="1:4" x14ac:dyDescent="0.2">
      <c r="A42" s="319" t="s">
        <v>699</v>
      </c>
      <c r="B42" s="320" t="s">
        <v>967</v>
      </c>
      <c r="C42" s="319" t="s">
        <v>942</v>
      </c>
      <c r="D42" s="321">
        <f>IFERROR(ROUND(AVERAGEIFS('PRECIOS VICTOR'!$D:$D,'PRECIOS VICTOR'!$A:$A,$A42),0),"")</f>
        <v>5105</v>
      </c>
    </row>
    <row r="43" spans="1:4" x14ac:dyDescent="0.2">
      <c r="A43" s="319" t="s">
        <v>700</v>
      </c>
      <c r="B43" s="320" t="s">
        <v>968</v>
      </c>
      <c r="C43" s="319" t="s">
        <v>906</v>
      </c>
      <c r="D43" s="321">
        <f>IFERROR(ROUND(AVERAGEIFS('PRECIOS VICTOR'!$D:$D,'PRECIOS VICTOR'!$A:$A,$A43),0),"")</f>
        <v>1589</v>
      </c>
    </row>
    <row r="44" spans="1:4" x14ac:dyDescent="0.2">
      <c r="A44" s="319" t="s">
        <v>701</v>
      </c>
      <c r="B44" s="320" t="s">
        <v>456</v>
      </c>
      <c r="C44" s="319" t="s">
        <v>906</v>
      </c>
      <c r="D44" s="321">
        <f>IFERROR(ROUND(AVERAGEIFS('PRECIOS VICTOR'!$D:$D,'PRECIOS VICTOR'!$A:$A,$A44),0),"")</f>
        <v>2585</v>
      </c>
    </row>
    <row r="45" spans="1:4" x14ac:dyDescent="0.2">
      <c r="A45" s="319" t="s">
        <v>1278</v>
      </c>
      <c r="B45" s="320" t="s">
        <v>1279</v>
      </c>
      <c r="C45" s="319" t="s">
        <v>906</v>
      </c>
      <c r="D45" s="321" t="str">
        <f>IFERROR(ROUND(AVERAGEIFS('PRECIOS VICTOR'!$D:$D,'PRECIOS VICTOR'!$A:$A,$A45),0),"")</f>
        <v/>
      </c>
    </row>
    <row r="46" spans="1:4" x14ac:dyDescent="0.2">
      <c r="A46" s="319" t="s">
        <v>969</v>
      </c>
      <c r="B46" s="320" t="s">
        <v>970</v>
      </c>
      <c r="C46" s="319" t="s">
        <v>111</v>
      </c>
      <c r="D46" s="321">
        <f>IFERROR(ROUND(AVERAGEIFS('PRECIOS VICTOR'!$D:$D,'PRECIOS VICTOR'!$A:$A,$A46),0),"")</f>
        <v>706</v>
      </c>
    </row>
    <row r="47" spans="1:4" x14ac:dyDescent="0.2">
      <c r="A47" s="319" t="s">
        <v>704</v>
      </c>
      <c r="B47" s="320" t="s">
        <v>457</v>
      </c>
      <c r="C47" s="319" t="s">
        <v>15</v>
      </c>
      <c r="D47" s="321" t="str">
        <f>IFERROR(ROUND(AVERAGEIFS('PRECIOS VICTOR'!$D:$D,'PRECIOS VICTOR'!$A:$A,$A47),0),"")</f>
        <v/>
      </c>
    </row>
    <row r="48" spans="1:4" x14ac:dyDescent="0.2">
      <c r="A48" s="319" t="s">
        <v>971</v>
      </c>
      <c r="B48" s="320" t="s">
        <v>972</v>
      </c>
      <c r="C48" s="319" t="s">
        <v>942</v>
      </c>
      <c r="D48" s="321" t="str">
        <f>IFERROR(ROUND(AVERAGEIFS('PRECIOS VICTOR'!$D:$D,'PRECIOS VICTOR'!$A:$A,$A48),0),"")</f>
        <v/>
      </c>
    </row>
    <row r="49" spans="1:4" x14ac:dyDescent="0.2">
      <c r="A49" s="319" t="s">
        <v>706</v>
      </c>
      <c r="B49" s="320" t="s">
        <v>525</v>
      </c>
      <c r="C49" s="319" t="s">
        <v>973</v>
      </c>
      <c r="D49" s="321" t="str">
        <f>IFERROR(ROUND(AVERAGEIFS('PRECIOS VICTOR'!$D:$D,'PRECIOS VICTOR'!$A:$A,$A49),0),"")</f>
        <v/>
      </c>
    </row>
    <row r="50" spans="1:4" x14ac:dyDescent="0.2">
      <c r="A50" s="319" t="s">
        <v>707</v>
      </c>
      <c r="B50" s="320" t="s">
        <v>489</v>
      </c>
      <c r="C50" s="319" t="s">
        <v>111</v>
      </c>
      <c r="D50" s="321">
        <f>IFERROR(ROUND(AVERAGEIFS('PRECIOS VICTOR'!$D:$D,'PRECIOS VICTOR'!$A:$A,$A50),0),"")</f>
        <v>1244</v>
      </c>
    </row>
    <row r="51" spans="1:4" x14ac:dyDescent="0.2">
      <c r="A51" s="319" t="s">
        <v>708</v>
      </c>
      <c r="B51" s="320" t="s">
        <v>526</v>
      </c>
      <c r="C51" s="319" t="s">
        <v>15</v>
      </c>
      <c r="D51" s="321" t="str">
        <f>IFERROR(ROUND(AVERAGEIFS('PRECIOS VICTOR'!$D:$D,'PRECIOS VICTOR'!$A:$A,$A51),0),"")</f>
        <v/>
      </c>
    </row>
    <row r="52" spans="1:4" x14ac:dyDescent="0.2">
      <c r="A52" s="319" t="s">
        <v>896</v>
      </c>
      <c r="B52" s="320" t="s">
        <v>392</v>
      </c>
      <c r="C52" s="319" t="s">
        <v>15</v>
      </c>
      <c r="D52" s="321">
        <f>IFERROR(ROUND(AVERAGEIFS('PRECIOS VICTOR'!$D:$D,'PRECIOS VICTOR'!$A:$A,$A52),0),"")</f>
        <v>8426</v>
      </c>
    </row>
    <row r="53" spans="1:4" x14ac:dyDescent="0.2">
      <c r="A53" s="319" t="s">
        <v>1280</v>
      </c>
      <c r="B53" s="320" t="s">
        <v>1281</v>
      </c>
      <c r="C53" s="319" t="s">
        <v>942</v>
      </c>
      <c r="D53" s="321" t="str">
        <f>IFERROR(ROUND(AVERAGEIFS('PRECIOS VICTOR'!$D:$D,'PRECIOS VICTOR'!$A:$A,$A53),0),"")</f>
        <v/>
      </c>
    </row>
    <row r="54" spans="1:4" x14ac:dyDescent="0.2">
      <c r="A54" s="319" t="s">
        <v>1282</v>
      </c>
      <c r="B54" s="320" t="s">
        <v>1283</v>
      </c>
      <c r="C54" s="319" t="s">
        <v>15</v>
      </c>
      <c r="D54" s="321" t="str">
        <f>IFERROR(ROUND(AVERAGEIFS('PRECIOS VICTOR'!$D:$D,'PRECIOS VICTOR'!$A:$A,$A54),0),"")</f>
        <v/>
      </c>
    </row>
    <row r="55" spans="1:4" x14ac:dyDescent="0.2">
      <c r="A55" s="319" t="s">
        <v>1284</v>
      </c>
      <c r="B55" s="320" t="s">
        <v>1285</v>
      </c>
      <c r="C55" s="319" t="s">
        <v>942</v>
      </c>
      <c r="D55" s="321" t="str">
        <f>IFERROR(ROUND(AVERAGEIFS('PRECIOS VICTOR'!$D:$D,'PRECIOS VICTOR'!$A:$A,$A55),0),"")</f>
        <v/>
      </c>
    </row>
    <row r="56" spans="1:4" x14ac:dyDescent="0.2">
      <c r="A56" s="319" t="s">
        <v>710</v>
      </c>
      <c r="B56" s="320" t="s">
        <v>237</v>
      </c>
      <c r="C56" s="319" t="s">
        <v>15</v>
      </c>
      <c r="D56" s="321">
        <f>IFERROR(ROUND(AVERAGEIFS('PRECIOS VICTOR'!$D:$D,'PRECIOS VICTOR'!$A:$A,$A56),0),"")</f>
        <v>4372</v>
      </c>
    </row>
    <row r="57" spans="1:4" x14ac:dyDescent="0.2">
      <c r="A57" s="319" t="s">
        <v>1286</v>
      </c>
      <c r="B57" s="320" t="s">
        <v>1287</v>
      </c>
      <c r="C57" s="319" t="s">
        <v>15</v>
      </c>
      <c r="D57" s="321">
        <f>IFERROR(ROUND(AVERAGEIFS('PRECIOS VICTOR'!$D:$D,'PRECIOS VICTOR'!$A:$A,$A57),0),"")</f>
        <v>3451</v>
      </c>
    </row>
    <row r="58" spans="1:4" x14ac:dyDescent="0.2">
      <c r="A58" s="319" t="s">
        <v>975</v>
      </c>
      <c r="B58" s="320" t="s">
        <v>218</v>
      </c>
      <c r="C58" s="319" t="s">
        <v>202</v>
      </c>
      <c r="D58" s="321">
        <f>IFERROR(ROUND(AVERAGEIFS('PRECIOS VICTOR'!$D:$D,'PRECIOS VICTOR'!$A:$A,$A58),0),"")</f>
        <v>537</v>
      </c>
    </row>
    <row r="59" spans="1:4" x14ac:dyDescent="0.2">
      <c r="A59" s="319" t="s">
        <v>711</v>
      </c>
      <c r="B59" s="320" t="s">
        <v>368</v>
      </c>
      <c r="C59" s="319" t="s">
        <v>202</v>
      </c>
      <c r="D59" s="321">
        <f>IFERROR(ROUND(AVERAGEIFS('PRECIOS VICTOR'!$D:$D,'PRECIOS VICTOR'!$A:$A,$A59),0),"")</f>
        <v>1212</v>
      </c>
    </row>
    <row r="60" spans="1:4" x14ac:dyDescent="0.2">
      <c r="A60" s="319" t="s">
        <v>1288</v>
      </c>
      <c r="B60" s="320" t="s">
        <v>1289</v>
      </c>
      <c r="C60" s="319" t="s">
        <v>15</v>
      </c>
      <c r="D60" s="321" t="str">
        <f>IFERROR(ROUND(AVERAGEIFS('PRECIOS VICTOR'!$D:$D,'PRECIOS VICTOR'!$A:$A,$A60),0),"")</f>
        <v/>
      </c>
    </row>
    <row r="61" spans="1:4" x14ac:dyDescent="0.2">
      <c r="A61" s="319" t="s">
        <v>1290</v>
      </c>
      <c r="B61" s="320" t="s">
        <v>1291</v>
      </c>
      <c r="C61" s="319" t="s">
        <v>15</v>
      </c>
      <c r="D61" s="321" t="str">
        <f>IFERROR(ROUND(AVERAGEIFS('PRECIOS VICTOR'!$D:$D,'PRECIOS VICTOR'!$A:$A,$A61),0),"")</f>
        <v/>
      </c>
    </row>
    <row r="62" spans="1:4" x14ac:dyDescent="0.2">
      <c r="A62" s="319" t="s">
        <v>713</v>
      </c>
      <c r="B62" s="320" t="s">
        <v>527</v>
      </c>
      <c r="C62" s="319" t="s">
        <v>1007</v>
      </c>
      <c r="D62" s="321">
        <f>IFERROR(ROUND(AVERAGEIFS('PRECIOS VICTOR'!$D:$D,'PRECIOS VICTOR'!$A:$A,$A62),0),"")</f>
        <v>2285</v>
      </c>
    </row>
    <row r="63" spans="1:4" x14ac:dyDescent="0.2">
      <c r="A63" s="319" t="s">
        <v>1292</v>
      </c>
      <c r="B63" s="320" t="s">
        <v>978</v>
      </c>
      <c r="C63" s="319" t="s">
        <v>942</v>
      </c>
      <c r="D63" s="321" t="str">
        <f>IFERROR(ROUND(AVERAGEIFS('PRECIOS VICTOR'!$D:$D,'PRECIOS VICTOR'!$A:$A,$A63),0),"")</f>
        <v/>
      </c>
    </row>
    <row r="64" spans="1:4" x14ac:dyDescent="0.2">
      <c r="A64" s="319" t="s">
        <v>977</v>
      </c>
      <c r="B64" s="320" t="s">
        <v>978</v>
      </c>
      <c r="C64" s="319" t="s">
        <v>297</v>
      </c>
      <c r="D64" s="321" t="str">
        <f>IFERROR(ROUND(AVERAGEIFS('PRECIOS VICTOR'!$D:$D,'PRECIOS VICTOR'!$A:$A,$A64),0),"")</f>
        <v/>
      </c>
    </row>
    <row r="65" spans="1:4" x14ac:dyDescent="0.2">
      <c r="A65" s="319" t="s">
        <v>1293</v>
      </c>
      <c r="B65" s="320" t="s">
        <v>1073</v>
      </c>
      <c r="C65" s="319" t="s">
        <v>1007</v>
      </c>
      <c r="D65" s="321">
        <f>IFERROR(ROUND(AVERAGEIFS('PRECIOS VICTOR'!$D:$D,'PRECIOS VICTOR'!$A:$A,$A65),0),"")</f>
        <v>2412</v>
      </c>
    </row>
    <row r="66" spans="1:4" x14ac:dyDescent="0.2">
      <c r="A66" s="319" t="s">
        <v>528</v>
      </c>
      <c r="B66" s="320" t="s">
        <v>1294</v>
      </c>
      <c r="C66" s="319" t="s">
        <v>15</v>
      </c>
      <c r="D66" s="321" t="str">
        <f>IFERROR(ROUND(AVERAGEIFS('PRECIOS VICTOR'!$D:$D,'PRECIOS VICTOR'!$A:$A,$A66),0),"")</f>
        <v/>
      </c>
    </row>
    <row r="67" spans="1:4" x14ac:dyDescent="0.2">
      <c r="A67" s="319" t="s">
        <v>715</v>
      </c>
      <c r="B67" s="320" t="s">
        <v>139</v>
      </c>
      <c r="C67" s="319" t="s">
        <v>111</v>
      </c>
      <c r="D67" s="321">
        <f>IFERROR(ROUND(AVERAGEIFS('PRECIOS VICTOR'!$D:$D,'PRECIOS VICTOR'!$A:$A,$A67),0),"")</f>
        <v>1740</v>
      </c>
    </row>
    <row r="68" spans="1:4" x14ac:dyDescent="0.2">
      <c r="A68" s="319" t="s">
        <v>1295</v>
      </c>
      <c r="B68" s="320" t="s">
        <v>1296</v>
      </c>
      <c r="C68" s="319" t="s">
        <v>1007</v>
      </c>
      <c r="D68" s="321">
        <f>IFERROR(ROUND(AVERAGEIFS('PRECIOS VICTOR'!$D:$D,'PRECIOS VICTOR'!$A:$A,$A68),0),"")</f>
        <v>3570</v>
      </c>
    </row>
    <row r="69" spans="1:4" x14ac:dyDescent="0.2">
      <c r="A69" s="319" t="s">
        <v>716</v>
      </c>
      <c r="B69" s="320" t="s">
        <v>529</v>
      </c>
      <c r="C69" s="319" t="s">
        <v>15</v>
      </c>
      <c r="D69" s="321">
        <f>IFERROR(ROUND(AVERAGEIFS('PRECIOS VICTOR'!$D:$D,'PRECIOS VICTOR'!$A:$A,$A69),0),"")</f>
        <v>5769</v>
      </c>
    </row>
    <row r="70" spans="1:4" x14ac:dyDescent="0.2">
      <c r="A70" s="319" t="s">
        <v>1297</v>
      </c>
      <c r="B70" s="320" t="s">
        <v>1298</v>
      </c>
      <c r="C70" s="319" t="s">
        <v>111</v>
      </c>
      <c r="D70" s="321">
        <f>IFERROR(ROUND(AVERAGEIFS('PRECIOS VICTOR'!$D:$D,'PRECIOS VICTOR'!$A:$A,$A70),0),"")</f>
        <v>4690</v>
      </c>
    </row>
    <row r="71" spans="1:4" x14ac:dyDescent="0.2">
      <c r="A71" s="319" t="s">
        <v>979</v>
      </c>
      <c r="B71" s="320" t="s">
        <v>980</v>
      </c>
      <c r="C71" s="319" t="s">
        <v>111</v>
      </c>
      <c r="D71" s="321">
        <f>IFERROR(ROUND(AVERAGEIFS('PRECIOS VICTOR'!$D:$D,'PRECIOS VICTOR'!$A:$A,$A71),0),"")</f>
        <v>5000</v>
      </c>
    </row>
    <row r="72" spans="1:4" x14ac:dyDescent="0.2">
      <c r="A72" s="319" t="s">
        <v>1299</v>
      </c>
      <c r="B72" s="320" t="s">
        <v>1300</v>
      </c>
      <c r="C72" s="319" t="s">
        <v>1007</v>
      </c>
      <c r="D72" s="321" t="str">
        <f>IFERROR(ROUND(AVERAGEIFS('PRECIOS VICTOR'!$D:$D,'PRECIOS VICTOR'!$A:$A,$A72),0),"")</f>
        <v/>
      </c>
    </row>
    <row r="73" spans="1:4" x14ac:dyDescent="0.2">
      <c r="A73" s="319" t="s">
        <v>728</v>
      </c>
      <c r="B73" s="320" t="s">
        <v>435</v>
      </c>
      <c r="C73" s="319" t="s">
        <v>981</v>
      </c>
      <c r="D73" s="321">
        <f>IFERROR(ROUND(AVERAGEIFS('PRECIOS VICTOR'!$D:$D,'PRECIOS VICTOR'!$A:$A,$A73),0),"")</f>
        <v>4016</v>
      </c>
    </row>
    <row r="74" spans="1:4" x14ac:dyDescent="0.2">
      <c r="A74" s="319" t="s">
        <v>983</v>
      </c>
      <c r="B74" s="320" t="s">
        <v>984</v>
      </c>
      <c r="C74" s="319" t="s">
        <v>906</v>
      </c>
      <c r="D74" s="321">
        <f>IFERROR(ROUND(AVERAGEIFS('PRECIOS VICTOR'!$D:$D,'PRECIOS VICTOR'!$A:$A,$A74),0),"")</f>
        <v>2023</v>
      </c>
    </row>
    <row r="75" spans="1:4" x14ac:dyDescent="0.2">
      <c r="A75" s="319" t="s">
        <v>732</v>
      </c>
      <c r="B75" s="320" t="s">
        <v>535</v>
      </c>
      <c r="C75" s="319" t="s">
        <v>15</v>
      </c>
      <c r="D75" s="321">
        <f>IFERROR(ROUND(AVERAGEIFS('PRECIOS VICTOR'!$D:$D,'PRECIOS VICTOR'!$A:$A,$A75),0),"")</f>
        <v>2818</v>
      </c>
    </row>
    <row r="76" spans="1:4" x14ac:dyDescent="0.2">
      <c r="A76" s="319" t="s">
        <v>985</v>
      </c>
      <c r="B76" s="320" t="s">
        <v>986</v>
      </c>
      <c r="C76" s="319" t="s">
        <v>297</v>
      </c>
      <c r="D76" s="321">
        <f>IFERROR(ROUND(AVERAGEIFS('PRECIOS VICTOR'!$D:$D,'PRECIOS VICTOR'!$A:$A,$A76),0),"")</f>
        <v>8899</v>
      </c>
    </row>
    <row r="77" spans="1:4" x14ac:dyDescent="0.2">
      <c r="A77" s="319" t="s">
        <v>987</v>
      </c>
      <c r="B77" s="320" t="s">
        <v>536</v>
      </c>
      <c r="C77" s="319" t="s">
        <v>942</v>
      </c>
      <c r="D77" s="321">
        <f>IFERROR(ROUND(AVERAGEIFS('PRECIOS VICTOR'!$D:$D,'PRECIOS VICTOR'!$A:$A,$A77),0),"")</f>
        <v>2270</v>
      </c>
    </row>
    <row r="78" spans="1:4" x14ac:dyDescent="0.2">
      <c r="A78" s="319" t="s">
        <v>733</v>
      </c>
      <c r="B78" s="320" t="s">
        <v>536</v>
      </c>
      <c r="C78" s="319" t="s">
        <v>297</v>
      </c>
      <c r="D78" s="321">
        <f>IFERROR(ROUND(AVERAGEIFS('PRECIOS VICTOR'!$D:$D,'PRECIOS VICTOR'!$A:$A,$A78),0),"")</f>
        <v>7378</v>
      </c>
    </row>
    <row r="79" spans="1:4" x14ac:dyDescent="0.2">
      <c r="A79" s="319" t="s">
        <v>734</v>
      </c>
      <c r="B79" s="320" t="s">
        <v>93</v>
      </c>
      <c r="C79" s="319" t="s">
        <v>15</v>
      </c>
      <c r="D79" s="321">
        <f>IFERROR(ROUND(AVERAGEIFS('PRECIOS VICTOR'!$D:$D,'PRECIOS VICTOR'!$A:$A,$A79),0),"")</f>
        <v>1733</v>
      </c>
    </row>
    <row r="80" spans="1:4" x14ac:dyDescent="0.2">
      <c r="A80" s="319" t="s">
        <v>1301</v>
      </c>
      <c r="B80" s="320" t="s">
        <v>217</v>
      </c>
      <c r="C80" s="319" t="s">
        <v>956</v>
      </c>
      <c r="D80" s="321" t="str">
        <f>IFERROR(ROUND(AVERAGEIFS('PRECIOS VICTOR'!$D:$D,'PRECIOS VICTOR'!$A:$A,$A80),0),"")</f>
        <v/>
      </c>
    </row>
    <row r="81" spans="1:4" x14ac:dyDescent="0.2">
      <c r="A81" s="319" t="s">
        <v>1302</v>
      </c>
      <c r="B81" s="320" t="s">
        <v>1303</v>
      </c>
      <c r="C81" s="319" t="s">
        <v>947</v>
      </c>
      <c r="D81" s="321">
        <f>IFERROR(ROUND(AVERAGEIFS('PRECIOS VICTOR'!$D:$D,'PRECIOS VICTOR'!$A:$A,$A81),0),"")</f>
        <v>2142</v>
      </c>
    </row>
    <row r="82" spans="1:4" x14ac:dyDescent="0.2">
      <c r="A82" s="319" t="s">
        <v>1304</v>
      </c>
      <c r="B82" s="320" t="s">
        <v>1305</v>
      </c>
      <c r="C82" s="319" t="s">
        <v>947</v>
      </c>
      <c r="D82" s="321">
        <f>IFERROR(ROUND(AVERAGEIFS('PRECIOS VICTOR'!$D:$D,'PRECIOS VICTOR'!$A:$A,$A82),0),"")</f>
        <v>7735</v>
      </c>
    </row>
    <row r="83" spans="1:4" x14ac:dyDescent="0.2">
      <c r="A83" s="319" t="s">
        <v>1306</v>
      </c>
      <c r="B83" s="320" t="s">
        <v>1307</v>
      </c>
      <c r="C83" s="319" t="s">
        <v>15</v>
      </c>
      <c r="D83" s="321" t="str">
        <f>IFERROR(ROUND(AVERAGEIFS('PRECIOS VICTOR'!$D:$D,'PRECIOS VICTOR'!$A:$A,$A83),0),"")</f>
        <v/>
      </c>
    </row>
    <row r="84" spans="1:4" x14ac:dyDescent="0.2">
      <c r="A84" s="319" t="s">
        <v>1308</v>
      </c>
      <c r="B84" s="320" t="s">
        <v>1309</v>
      </c>
      <c r="C84" s="319" t="s">
        <v>15</v>
      </c>
      <c r="D84" s="321">
        <f>IFERROR(ROUND(AVERAGEIFS('PRECIOS VICTOR'!$D:$D,'PRECIOS VICTOR'!$A:$A,$A84),0),"")</f>
        <v>3451</v>
      </c>
    </row>
    <row r="85" spans="1:4" x14ac:dyDescent="0.2">
      <c r="A85" s="319" t="s">
        <v>736</v>
      </c>
      <c r="B85" s="320" t="s">
        <v>537</v>
      </c>
      <c r="C85" s="319" t="s">
        <v>202</v>
      </c>
      <c r="D85" s="321">
        <f>IFERROR(ROUND(AVERAGEIFS('PRECIOS VICTOR'!$D:$D,'PRECIOS VICTOR'!$A:$A,$A85),0),"")</f>
        <v>1423</v>
      </c>
    </row>
    <row r="86" spans="1:4" x14ac:dyDescent="0.2">
      <c r="A86" s="319" t="s">
        <v>1310</v>
      </c>
      <c r="B86" s="320" t="s">
        <v>1311</v>
      </c>
      <c r="C86" s="319" t="s">
        <v>906</v>
      </c>
      <c r="D86" s="321" t="str">
        <f>IFERROR(ROUND(AVERAGEIFS('PRECIOS VICTOR'!$D:$D,'PRECIOS VICTOR'!$A:$A,$A86),0),"")</f>
        <v/>
      </c>
    </row>
    <row r="87" spans="1:4" x14ac:dyDescent="0.2">
      <c r="A87" s="319" t="s">
        <v>740</v>
      </c>
      <c r="B87" s="320" t="s">
        <v>739</v>
      </c>
      <c r="C87" s="319" t="s">
        <v>15</v>
      </c>
      <c r="D87" s="321" t="str">
        <f>IFERROR(ROUND(AVERAGEIFS('PRECIOS VICTOR'!$D:$D,'PRECIOS VICTOR'!$A:$A,$A87),0),"")</f>
        <v/>
      </c>
    </row>
    <row r="88" spans="1:4" x14ac:dyDescent="0.2">
      <c r="A88" s="319" t="s">
        <v>1312</v>
      </c>
      <c r="B88" s="320" t="s">
        <v>1313</v>
      </c>
      <c r="C88" s="319" t="s">
        <v>15</v>
      </c>
      <c r="D88" s="321" t="str">
        <f>IFERROR(ROUND(AVERAGEIFS('PRECIOS VICTOR'!$D:$D,'PRECIOS VICTOR'!$A:$A,$A88),0),"")</f>
        <v/>
      </c>
    </row>
    <row r="89" spans="1:4" x14ac:dyDescent="0.2">
      <c r="A89" s="319" t="s">
        <v>742</v>
      </c>
      <c r="B89" s="320" t="s">
        <v>150</v>
      </c>
      <c r="C89" s="319" t="s">
        <v>15</v>
      </c>
      <c r="D89" s="321">
        <f>IFERROR(ROUND(AVERAGEIFS('PRECIOS VICTOR'!$D:$D,'PRECIOS VICTOR'!$A:$A,$A89),0),"")</f>
        <v>3199</v>
      </c>
    </row>
    <row r="90" spans="1:4" x14ac:dyDescent="0.2">
      <c r="A90" s="319" t="s">
        <v>1314</v>
      </c>
      <c r="B90" s="320" t="s">
        <v>1315</v>
      </c>
      <c r="C90" s="319" t="s">
        <v>906</v>
      </c>
      <c r="D90" s="321" t="str">
        <f>IFERROR(ROUND(AVERAGEIFS('PRECIOS VICTOR'!$D:$D,'PRECIOS VICTOR'!$A:$A,$A90),0),"")</f>
        <v/>
      </c>
    </row>
    <row r="91" spans="1:4" x14ac:dyDescent="0.2">
      <c r="A91" s="319" t="s">
        <v>743</v>
      </c>
      <c r="B91" s="320" t="s">
        <v>436</v>
      </c>
      <c r="C91" s="319" t="s">
        <v>111</v>
      </c>
      <c r="D91" s="321">
        <f>IFERROR(ROUND(AVERAGEIFS('PRECIOS VICTOR'!$D:$D,'PRECIOS VICTOR'!$A:$A,$A91),0),"")</f>
        <v>990</v>
      </c>
    </row>
    <row r="92" spans="1:4" x14ac:dyDescent="0.2">
      <c r="A92" s="319" t="s">
        <v>748</v>
      </c>
      <c r="B92" s="320" t="s">
        <v>543</v>
      </c>
      <c r="C92" s="319" t="s">
        <v>973</v>
      </c>
      <c r="D92" s="321">
        <f>IFERROR(ROUND(AVERAGEIFS('PRECIOS VICTOR'!$D:$D,'PRECIOS VICTOR'!$A:$A,$A92),0),"")</f>
        <v>4060</v>
      </c>
    </row>
    <row r="93" spans="1:4" x14ac:dyDescent="0.2">
      <c r="A93" s="319" t="s">
        <v>749</v>
      </c>
      <c r="B93" s="320" t="s">
        <v>544</v>
      </c>
      <c r="C93" s="319" t="s">
        <v>906</v>
      </c>
      <c r="D93" s="321">
        <f>IFERROR(ROUND(AVERAGEIFS('PRECIOS VICTOR'!$D:$D,'PRECIOS VICTOR'!$A:$A,$A93),0),"")</f>
        <v>550</v>
      </c>
    </row>
    <row r="94" spans="1:4" x14ac:dyDescent="0.2">
      <c r="A94" s="319" t="s">
        <v>1316</v>
      </c>
      <c r="B94" s="320" t="s">
        <v>1317</v>
      </c>
      <c r="C94" s="319" t="s">
        <v>906</v>
      </c>
      <c r="D94" s="321" t="str">
        <f>IFERROR(ROUND(AVERAGEIFS('PRECIOS VICTOR'!$D:$D,'PRECIOS VICTOR'!$A:$A,$A94),0),"")</f>
        <v/>
      </c>
    </row>
    <row r="95" spans="1:4" x14ac:dyDescent="0.2">
      <c r="A95" s="319" t="s">
        <v>1318</v>
      </c>
      <c r="B95" s="320" t="s">
        <v>1319</v>
      </c>
      <c r="C95" s="319" t="s">
        <v>906</v>
      </c>
      <c r="D95" s="321" t="str">
        <f>IFERROR(ROUND(AVERAGEIFS('PRECIOS VICTOR'!$D:$D,'PRECIOS VICTOR'!$A:$A,$A95),0),"")</f>
        <v/>
      </c>
    </row>
    <row r="96" spans="1:4" x14ac:dyDescent="0.2">
      <c r="A96" s="319" t="s">
        <v>988</v>
      </c>
      <c r="B96" s="320" t="s">
        <v>989</v>
      </c>
      <c r="C96" s="319" t="s">
        <v>973</v>
      </c>
      <c r="D96" s="321" t="str">
        <f>IFERROR(ROUND(AVERAGEIFS('PRECIOS VICTOR'!$D:$D,'PRECIOS VICTOR'!$A:$A,$A96),0),"")</f>
        <v/>
      </c>
    </row>
    <row r="97" spans="1:5" x14ac:dyDescent="0.2">
      <c r="A97" s="319" t="s">
        <v>758</v>
      </c>
      <c r="B97" s="320" t="s">
        <v>183</v>
      </c>
      <c r="C97" s="319" t="s">
        <v>15</v>
      </c>
      <c r="D97" s="321">
        <f>IFERROR(ROUND(AVERAGEIFS('PRECIOS VICTOR'!$D:$D,'PRECIOS VICTOR'!$A:$A,$A97),0),"")</f>
        <v>2722</v>
      </c>
    </row>
    <row r="98" spans="1:5" x14ac:dyDescent="0.2">
      <c r="A98" s="319" t="s">
        <v>761</v>
      </c>
      <c r="B98" s="320" t="s">
        <v>490</v>
      </c>
      <c r="C98" s="319" t="s">
        <v>111</v>
      </c>
      <c r="D98" s="321" t="str">
        <f>IFERROR(ROUND(AVERAGEIFS('PRECIOS VICTOR'!$D:$D,'PRECIOS VICTOR'!$A:$A,$A98),0),"")</f>
        <v/>
      </c>
    </row>
    <row r="99" spans="1:5" x14ac:dyDescent="0.2">
      <c r="A99" s="319" t="s">
        <v>763</v>
      </c>
      <c r="B99" s="320" t="s">
        <v>990</v>
      </c>
      <c r="C99" s="319" t="s">
        <v>15</v>
      </c>
      <c r="D99" s="321">
        <f>IFERROR(ROUND(AVERAGEIFS('PRECIOS VICTOR'!$D:$D,'PRECIOS VICTOR'!$A:$A,$A99),0),"")</f>
        <v>5709</v>
      </c>
    </row>
    <row r="100" spans="1:5" x14ac:dyDescent="0.2">
      <c r="A100" s="319" t="s">
        <v>766</v>
      </c>
      <c r="B100" s="320" t="s">
        <v>151</v>
      </c>
      <c r="C100" s="319" t="s">
        <v>111</v>
      </c>
      <c r="D100" s="321">
        <f>IFERROR(ROUND(AVERAGEIFS('PRECIOS VICTOR'!$D:$D,'PRECIOS VICTOR'!$A:$A,$A100),0),"")</f>
        <v>253</v>
      </c>
      <c r="E100" s="316">
        <v>147</v>
      </c>
    </row>
    <row r="101" spans="1:5" x14ac:dyDescent="0.2">
      <c r="A101" s="319" t="s">
        <v>991</v>
      </c>
      <c r="B101" s="320" t="s">
        <v>992</v>
      </c>
      <c r="C101" s="319" t="s">
        <v>15</v>
      </c>
      <c r="D101" s="321">
        <f>IFERROR(ROUND(AVERAGEIFS('PRECIOS VICTOR'!$D:$D,'PRECIOS VICTOR'!$A:$A,$A101),0),"")</f>
        <v>11280</v>
      </c>
    </row>
    <row r="102" spans="1:5" x14ac:dyDescent="0.2">
      <c r="A102" s="319" t="s">
        <v>769</v>
      </c>
      <c r="B102" s="320" t="s">
        <v>553</v>
      </c>
      <c r="C102" s="319" t="s">
        <v>15</v>
      </c>
      <c r="D102" s="321">
        <f>IFERROR(ROUND(AVERAGEIFS('PRECIOS VICTOR'!$D:$D,'PRECIOS VICTOR'!$A:$A,$A102),0),"")</f>
        <v>6853</v>
      </c>
    </row>
    <row r="103" spans="1:5" x14ac:dyDescent="0.2">
      <c r="A103" s="319" t="s">
        <v>1320</v>
      </c>
      <c r="B103" s="320" t="s">
        <v>1321</v>
      </c>
      <c r="C103" s="319" t="s">
        <v>15</v>
      </c>
      <c r="D103" s="321">
        <f>IFERROR(ROUND(AVERAGEIFS('PRECIOS VICTOR'!$D:$D,'PRECIOS VICTOR'!$A:$A,$A103),0),"")</f>
        <v>8000</v>
      </c>
    </row>
    <row r="104" spans="1:5" x14ac:dyDescent="0.2">
      <c r="A104" s="319" t="s">
        <v>775</v>
      </c>
      <c r="B104" s="320" t="s">
        <v>993</v>
      </c>
      <c r="C104" s="319" t="s">
        <v>947</v>
      </c>
      <c r="D104" s="321">
        <f>IFERROR(ROUND(AVERAGEIFS('PRECIOS VICTOR'!$D:$D,'PRECIOS VICTOR'!$A:$A,$A104),0),"")</f>
        <v>753</v>
      </c>
    </row>
    <row r="105" spans="1:5" x14ac:dyDescent="0.2">
      <c r="A105" s="319" t="s">
        <v>777</v>
      </c>
      <c r="B105" s="320" t="s">
        <v>487</v>
      </c>
      <c r="C105" s="319" t="s">
        <v>981</v>
      </c>
      <c r="D105" s="321">
        <f>IFERROR(ROUND(AVERAGEIFS('PRECIOS VICTOR'!$D:$D,'PRECIOS VICTOR'!$A:$A,$A105),0),"")</f>
        <v>1419</v>
      </c>
    </row>
    <row r="106" spans="1:5" x14ac:dyDescent="0.2">
      <c r="A106" s="319" t="s">
        <v>782</v>
      </c>
      <c r="B106" s="320" t="s">
        <v>478</v>
      </c>
      <c r="C106" s="319" t="s">
        <v>942</v>
      </c>
      <c r="D106" s="321" t="str">
        <f>IFERROR(ROUND(AVERAGEIFS('PRECIOS VICTOR'!$D:$D,'PRECIOS VICTOR'!$A:$A,$A106),0),"")</f>
        <v/>
      </c>
    </row>
    <row r="107" spans="1:5" x14ac:dyDescent="0.2">
      <c r="A107" s="319" t="s">
        <v>783</v>
      </c>
      <c r="B107" s="320" t="s">
        <v>479</v>
      </c>
      <c r="C107" s="319" t="s">
        <v>15</v>
      </c>
      <c r="D107" s="321">
        <f>IFERROR(ROUND(AVERAGEIFS('PRECIOS VICTOR'!$D:$D,'PRECIOS VICTOR'!$A:$A,$A107),0),"")</f>
        <v>2341</v>
      </c>
    </row>
    <row r="108" spans="1:5" x14ac:dyDescent="0.2">
      <c r="A108" s="319" t="s">
        <v>784</v>
      </c>
      <c r="B108" s="320" t="s">
        <v>119</v>
      </c>
      <c r="C108" s="319" t="s">
        <v>15</v>
      </c>
      <c r="D108" s="321">
        <f>IFERROR(ROUND(AVERAGEIFS('PRECIOS VICTOR'!$D:$D,'PRECIOS VICTOR'!$A:$A,$A108),0),"")</f>
        <v>1689</v>
      </c>
    </row>
    <row r="109" spans="1:5" x14ac:dyDescent="0.2">
      <c r="A109" s="319" t="s">
        <v>1322</v>
      </c>
      <c r="B109" s="320" t="s">
        <v>1323</v>
      </c>
      <c r="C109" s="319" t="s">
        <v>973</v>
      </c>
      <c r="D109" s="321">
        <f>IFERROR(ROUND(AVERAGEIFS('PRECIOS VICTOR'!$D:$D,'PRECIOS VICTOR'!$A:$A,$A109),0),"")</f>
        <v>2046</v>
      </c>
    </row>
    <row r="110" spans="1:5" x14ac:dyDescent="0.2">
      <c r="A110" s="319" t="s">
        <v>785</v>
      </c>
      <c r="B110" s="320" t="s">
        <v>241</v>
      </c>
      <c r="C110" s="319" t="s">
        <v>906</v>
      </c>
      <c r="D110" s="321">
        <f>IFERROR(ROUND(AVERAGEIFS('PRECIOS VICTOR'!$D:$D,'PRECIOS VICTOR'!$A:$A,$A110),0),"")</f>
        <v>800</v>
      </c>
    </row>
    <row r="111" spans="1:5" x14ac:dyDescent="0.2">
      <c r="A111" s="319" t="s">
        <v>994</v>
      </c>
      <c r="B111" s="320" t="s">
        <v>995</v>
      </c>
      <c r="C111" s="319" t="s">
        <v>15</v>
      </c>
      <c r="D111" s="321" t="str">
        <f>IFERROR(ROUND(AVERAGEIFS('PRECIOS VICTOR'!$D:$D,'PRECIOS VICTOR'!$A:$A,$A111),0),"")</f>
        <v/>
      </c>
    </row>
    <row r="112" spans="1:5" x14ac:dyDescent="0.2">
      <c r="A112" s="319" t="s">
        <v>996</v>
      </c>
      <c r="B112" s="320" t="s">
        <v>649</v>
      </c>
      <c r="C112" s="319" t="s">
        <v>942</v>
      </c>
      <c r="D112" s="321">
        <f>IFERROR(ROUND(AVERAGEIFS('PRECIOS VICTOR'!$D:$D,'PRECIOS VICTOR'!$A:$A,$A112),0),"")</f>
        <v>2390</v>
      </c>
    </row>
    <row r="113" spans="1:5" x14ac:dyDescent="0.2">
      <c r="A113" s="319" t="s">
        <v>1324</v>
      </c>
      <c r="B113" s="320" t="s">
        <v>1325</v>
      </c>
      <c r="C113" s="319" t="s">
        <v>111</v>
      </c>
      <c r="D113" s="321" t="str">
        <f>IFERROR(ROUND(AVERAGEIFS('PRECIOS VICTOR'!$D:$D,'PRECIOS VICTOR'!$A:$A,$A113),0),"")</f>
        <v/>
      </c>
    </row>
    <row r="114" spans="1:5" x14ac:dyDescent="0.2">
      <c r="A114" s="319" t="s">
        <v>997</v>
      </c>
      <c r="B114" s="320" t="s">
        <v>998</v>
      </c>
      <c r="C114" s="319" t="s">
        <v>973</v>
      </c>
      <c r="D114" s="321" t="str">
        <f>IFERROR(ROUND(AVERAGEIFS('PRECIOS VICTOR'!$D:$D,'PRECIOS VICTOR'!$A:$A,$A114),0),"")</f>
        <v/>
      </c>
    </row>
    <row r="115" spans="1:5" x14ac:dyDescent="0.2">
      <c r="A115" s="319" t="s">
        <v>788</v>
      </c>
      <c r="B115" s="320" t="s">
        <v>650</v>
      </c>
      <c r="C115" s="319" t="s">
        <v>942</v>
      </c>
      <c r="D115" s="321">
        <f>IFERROR(ROUND(AVERAGEIFS('PRECIOS VICTOR'!$D:$D,'PRECIOS VICTOR'!$A:$A,$A115),0),"")</f>
        <v>2447</v>
      </c>
    </row>
    <row r="116" spans="1:5" x14ac:dyDescent="0.2">
      <c r="A116" s="319" t="s">
        <v>789</v>
      </c>
      <c r="B116" s="320" t="s">
        <v>437</v>
      </c>
      <c r="C116" s="319" t="s">
        <v>973</v>
      </c>
      <c r="D116" s="321" t="str">
        <f>IFERROR(ROUND(AVERAGEIFS('PRECIOS VICTOR'!$D:$D,'PRECIOS VICTOR'!$A:$A,$A116),0),"")</f>
        <v/>
      </c>
    </row>
    <row r="117" spans="1:5" x14ac:dyDescent="0.2">
      <c r="A117" s="319" t="s">
        <v>790</v>
      </c>
      <c r="B117" s="320" t="s">
        <v>561</v>
      </c>
      <c r="C117" s="319" t="s">
        <v>111</v>
      </c>
      <c r="D117" s="321">
        <f>IFERROR(ROUND(AVERAGEIFS('PRECIOS VICTOR'!$D:$D,'PRECIOS VICTOR'!$A:$A,$A117),0),"")</f>
        <v>1022</v>
      </c>
    </row>
    <row r="118" spans="1:5" x14ac:dyDescent="0.2">
      <c r="A118" s="319" t="s">
        <v>792</v>
      </c>
      <c r="B118" s="320" t="s">
        <v>196</v>
      </c>
      <c r="C118" s="319" t="s">
        <v>111</v>
      </c>
      <c r="D118" s="321">
        <f>IFERROR(ROUND(AVERAGEIFS('PRECIOS VICTOR'!$D:$D,'PRECIOS VICTOR'!$A:$A,$A118),0),"")</f>
        <v>1190</v>
      </c>
      <c r="E118" s="316">
        <v>824</v>
      </c>
    </row>
    <row r="119" spans="1:5" x14ac:dyDescent="0.2">
      <c r="A119" s="319" t="s">
        <v>1000</v>
      </c>
      <c r="B119" s="320" t="s">
        <v>1001</v>
      </c>
      <c r="C119" s="319" t="s">
        <v>111</v>
      </c>
      <c r="D119" s="321" t="str">
        <f>IFERROR(ROUND(AVERAGEIFS('PRECIOS VICTOR'!$D:$D,'PRECIOS VICTOR'!$A:$A,$A119),0),"")</f>
        <v/>
      </c>
    </row>
    <row r="120" spans="1:5" x14ac:dyDescent="0.2">
      <c r="A120" s="319" t="s">
        <v>1326</v>
      </c>
      <c r="B120" s="320" t="s">
        <v>1327</v>
      </c>
      <c r="C120" s="319" t="s">
        <v>111</v>
      </c>
      <c r="D120" s="321" t="str">
        <f>IFERROR(ROUND(AVERAGEIFS('PRECIOS VICTOR'!$D:$D,'PRECIOS VICTOR'!$A:$A,$A120),0),"")</f>
        <v/>
      </c>
    </row>
    <row r="121" spans="1:5" x14ac:dyDescent="0.2">
      <c r="A121" s="319" t="s">
        <v>901</v>
      </c>
      <c r="B121" s="320" t="s">
        <v>266</v>
      </c>
      <c r="C121" s="319" t="s">
        <v>15</v>
      </c>
      <c r="D121" s="321">
        <f>IFERROR(ROUND(AVERAGEIFS('PRECIOS VICTOR'!$D:$D,'PRECIOS VICTOR'!$A:$A,$A121),0),"")</f>
        <v>8887</v>
      </c>
    </row>
    <row r="122" spans="1:5" x14ac:dyDescent="0.2">
      <c r="A122" s="319" t="s">
        <v>1002</v>
      </c>
      <c r="B122" s="320" t="s">
        <v>266</v>
      </c>
      <c r="C122" s="319" t="s">
        <v>906</v>
      </c>
      <c r="D122" s="321">
        <f>IFERROR(ROUND(AVERAGEIFS('PRECIOS VICTOR'!$D:$D,'PRECIOS VICTOR'!$A:$A,$A122),0),"")</f>
        <v>3976</v>
      </c>
    </row>
    <row r="123" spans="1:5" x14ac:dyDescent="0.2">
      <c r="A123" s="319" t="s">
        <v>918</v>
      </c>
      <c r="B123" s="320" t="s">
        <v>917</v>
      </c>
      <c r="C123" s="319" t="s">
        <v>15</v>
      </c>
      <c r="D123" s="321">
        <f>IFERROR(ROUND(AVERAGEIFS('PRECIOS VICTOR'!$D:$D,'PRECIOS VICTOR'!$A:$A,$A123),0),"")</f>
        <v>1146</v>
      </c>
    </row>
    <row r="124" spans="1:5" x14ac:dyDescent="0.2">
      <c r="A124" s="319" t="s">
        <v>794</v>
      </c>
      <c r="B124" s="320" t="s">
        <v>438</v>
      </c>
      <c r="C124" s="319" t="s">
        <v>15</v>
      </c>
      <c r="D124" s="321">
        <f>IFERROR(ROUND(AVERAGEIFS('PRECIOS VICTOR'!$D:$D,'PRECIOS VICTOR'!$A:$A,$A124),0),"")</f>
        <v>9947</v>
      </c>
    </row>
    <row r="125" spans="1:5" x14ac:dyDescent="0.2">
      <c r="A125" s="319" t="s">
        <v>1328</v>
      </c>
      <c r="B125" s="320" t="s">
        <v>1329</v>
      </c>
      <c r="C125" s="319" t="s">
        <v>297</v>
      </c>
      <c r="D125" s="321" t="str">
        <f>IFERROR(ROUND(AVERAGEIFS('PRECIOS VICTOR'!$D:$D,'PRECIOS VICTOR'!$A:$A,$A125),0),"")</f>
        <v/>
      </c>
    </row>
    <row r="126" spans="1:5" x14ac:dyDescent="0.2">
      <c r="A126" s="319" t="s">
        <v>1003</v>
      </c>
      <c r="B126" s="320" t="s">
        <v>12</v>
      </c>
      <c r="C126" s="319" t="s">
        <v>906</v>
      </c>
      <c r="D126" s="321">
        <f>IFERROR(ROUND(AVERAGEIFS('PRECIOS VICTOR'!$D:$D,'PRECIOS VICTOR'!$A:$A,$A126),0),"")</f>
        <v>3290</v>
      </c>
    </row>
    <row r="127" spans="1:5" x14ac:dyDescent="0.2">
      <c r="A127" s="319" t="s">
        <v>795</v>
      </c>
      <c r="B127" s="320" t="s">
        <v>12</v>
      </c>
      <c r="C127" s="319" t="s">
        <v>15</v>
      </c>
      <c r="D127" s="321">
        <f>IFERROR(ROUND(AVERAGEIFS('PRECIOS VICTOR'!$D:$D,'PRECIOS VICTOR'!$A:$A,$A127),0),"")</f>
        <v>4105</v>
      </c>
    </row>
    <row r="128" spans="1:5" x14ac:dyDescent="0.2">
      <c r="A128" s="319" t="s">
        <v>270</v>
      </c>
      <c r="B128" s="320" t="s">
        <v>269</v>
      </c>
      <c r="C128" s="319" t="s">
        <v>15</v>
      </c>
      <c r="D128" s="321">
        <f>IFERROR(ROUND(AVERAGEIFS('PRECIOS VICTOR'!$D:$D,'PRECIOS VICTOR'!$A:$A,$A128),0),"")</f>
        <v>3935</v>
      </c>
    </row>
    <row r="129" spans="1:4" x14ac:dyDescent="0.2">
      <c r="A129" s="319" t="s">
        <v>1330</v>
      </c>
      <c r="B129" s="320" t="s">
        <v>1331</v>
      </c>
      <c r="C129" s="319" t="s">
        <v>906</v>
      </c>
      <c r="D129" s="321">
        <f>IFERROR(ROUND(AVERAGEIFS('PRECIOS VICTOR'!$D:$D,'PRECIOS VICTOR'!$A:$A,$A129),0),"")</f>
        <v>6929</v>
      </c>
    </row>
    <row r="130" spans="1:4" x14ac:dyDescent="0.2">
      <c r="A130" s="319" t="s">
        <v>796</v>
      </c>
      <c r="B130" s="320" t="s">
        <v>562</v>
      </c>
      <c r="C130" s="319" t="s">
        <v>906</v>
      </c>
      <c r="D130" s="321">
        <f>IFERROR(ROUND(AVERAGEIFS('PRECIOS VICTOR'!$D:$D,'PRECIOS VICTOR'!$A:$A,$A130),0),"")</f>
        <v>3775</v>
      </c>
    </row>
    <row r="131" spans="1:4" x14ac:dyDescent="0.2">
      <c r="A131" s="319" t="s">
        <v>798</v>
      </c>
      <c r="B131" s="320" t="s">
        <v>480</v>
      </c>
      <c r="C131" s="319" t="s">
        <v>111</v>
      </c>
      <c r="D131" s="321">
        <f>IFERROR(ROUND(AVERAGEIFS('PRECIOS VICTOR'!$D:$D,'PRECIOS VICTOR'!$A:$A,$A131),0),"")</f>
        <v>2618</v>
      </c>
    </row>
    <row r="132" spans="1:4" x14ac:dyDescent="0.2">
      <c r="A132" s="319" t="s">
        <v>801</v>
      </c>
      <c r="B132" s="320" t="s">
        <v>1004</v>
      </c>
      <c r="C132" s="319" t="s">
        <v>15</v>
      </c>
      <c r="D132" s="321">
        <f>IFERROR(ROUND(AVERAGEIFS('PRECIOS VICTOR'!$D:$D,'PRECIOS VICTOR'!$A:$A,$A132),0),"")</f>
        <v>4450</v>
      </c>
    </row>
    <row r="133" spans="1:4" x14ac:dyDescent="0.2">
      <c r="A133" s="319" t="s">
        <v>803</v>
      </c>
      <c r="B133" s="320" t="s">
        <v>88</v>
      </c>
      <c r="C133" s="319" t="s">
        <v>15</v>
      </c>
      <c r="D133" s="321">
        <f>IFERROR(ROUND(AVERAGEIFS('PRECIOS VICTOR'!$D:$D,'PRECIOS VICTOR'!$A:$A,$A133),0),"")</f>
        <v>1634</v>
      </c>
    </row>
    <row r="134" spans="1:4" x14ac:dyDescent="0.2">
      <c r="A134" s="319" t="s">
        <v>805</v>
      </c>
      <c r="B134" s="320" t="s">
        <v>1005</v>
      </c>
      <c r="C134" s="319" t="s">
        <v>15</v>
      </c>
      <c r="D134" s="321">
        <f>IFERROR(ROUND(AVERAGEIFS('PRECIOS VICTOR'!$D:$D,'PRECIOS VICTOR'!$A:$A,$A134),0),"")</f>
        <v>3467</v>
      </c>
    </row>
    <row r="135" spans="1:4" x14ac:dyDescent="0.2">
      <c r="A135" s="319" t="s">
        <v>1332</v>
      </c>
      <c r="B135" s="320" t="s">
        <v>1333</v>
      </c>
      <c r="C135" s="319" t="s">
        <v>956</v>
      </c>
      <c r="D135" s="321">
        <f>IFERROR(ROUND(AVERAGEIFS('PRECIOS VICTOR'!$D:$D,'PRECIOS VICTOR'!$A:$A,$A135),0),"")</f>
        <v>4046</v>
      </c>
    </row>
    <row r="136" spans="1:4" x14ac:dyDescent="0.2">
      <c r="A136" s="319" t="s">
        <v>812</v>
      </c>
      <c r="B136" s="320" t="s">
        <v>570</v>
      </c>
      <c r="C136" s="319" t="s">
        <v>111</v>
      </c>
      <c r="D136" s="321" t="str">
        <f>IFERROR(ROUND(AVERAGEIFS('PRECIOS VICTOR'!$D:$D,'PRECIOS VICTOR'!$A:$A,$A136),0),"")</f>
        <v/>
      </c>
    </row>
    <row r="137" spans="1:4" x14ac:dyDescent="0.2">
      <c r="A137" s="319" t="s">
        <v>1334</v>
      </c>
      <c r="B137" s="320" t="s">
        <v>1335</v>
      </c>
      <c r="C137" s="319" t="s">
        <v>111</v>
      </c>
      <c r="D137" s="321" t="str">
        <f>IFERROR(ROUND(AVERAGEIFS('PRECIOS VICTOR'!$D:$D,'PRECIOS VICTOR'!$A:$A,$A137),0),"")</f>
        <v/>
      </c>
    </row>
    <row r="138" spans="1:4" x14ac:dyDescent="0.2">
      <c r="A138" s="319" t="s">
        <v>1336</v>
      </c>
      <c r="B138" s="320" t="s">
        <v>1337</v>
      </c>
      <c r="C138" s="319" t="s">
        <v>111</v>
      </c>
      <c r="D138" s="321" t="str">
        <f>IFERROR(ROUND(AVERAGEIFS('PRECIOS VICTOR'!$D:$D,'PRECIOS VICTOR'!$A:$A,$A138),0),"")</f>
        <v/>
      </c>
    </row>
    <row r="139" spans="1:4" x14ac:dyDescent="0.2">
      <c r="A139" s="319" t="s">
        <v>815</v>
      </c>
      <c r="B139" s="320" t="s">
        <v>1006</v>
      </c>
      <c r="C139" s="319" t="s">
        <v>15</v>
      </c>
      <c r="D139" s="321" t="str">
        <f>IFERROR(ROUND(AVERAGEIFS('PRECIOS VICTOR'!$D:$D,'PRECIOS VICTOR'!$A:$A,$A139),0),"")</f>
        <v/>
      </c>
    </row>
    <row r="140" spans="1:4" x14ac:dyDescent="0.2">
      <c r="A140" s="319" t="s">
        <v>1338</v>
      </c>
      <c r="B140" s="320" t="s">
        <v>1006</v>
      </c>
      <c r="C140" s="319" t="s">
        <v>297</v>
      </c>
      <c r="D140" s="321" t="str">
        <f>IFERROR(ROUND(AVERAGEIFS('PRECIOS VICTOR'!$D:$D,'PRECIOS VICTOR'!$A:$A,$A140),0),"")</f>
        <v/>
      </c>
    </row>
    <row r="141" spans="1:4" x14ac:dyDescent="0.2">
      <c r="A141" s="319" t="s">
        <v>814</v>
      </c>
      <c r="B141" s="320" t="s">
        <v>1006</v>
      </c>
      <c r="C141" s="319" t="s">
        <v>1007</v>
      </c>
      <c r="D141" s="321" t="str">
        <f>IFERROR(ROUND(AVERAGEIFS('PRECIOS VICTOR'!$D:$D,'PRECIOS VICTOR'!$A:$A,$A141),0),"")</f>
        <v/>
      </c>
    </row>
    <row r="142" spans="1:4" x14ac:dyDescent="0.2">
      <c r="A142" s="319" t="s">
        <v>817</v>
      </c>
      <c r="B142" s="320" t="s">
        <v>574</v>
      </c>
      <c r="C142" s="319" t="s">
        <v>942</v>
      </c>
      <c r="D142" s="321" t="str">
        <f>IFERROR(ROUND(AVERAGEIFS('PRECIOS VICTOR'!$D:$D,'PRECIOS VICTOR'!$A:$A,$A142),0),"")</f>
        <v/>
      </c>
    </row>
    <row r="143" spans="1:4" x14ac:dyDescent="0.2">
      <c r="A143" s="319" t="s">
        <v>1339</v>
      </c>
      <c r="B143" s="320" t="s">
        <v>1340</v>
      </c>
      <c r="C143" s="319" t="s">
        <v>15</v>
      </c>
      <c r="D143" s="321" t="str">
        <f>IFERROR(ROUND(AVERAGEIFS('PRECIOS VICTOR'!$D:$D,'PRECIOS VICTOR'!$A:$A,$A143),0),"")</f>
        <v/>
      </c>
    </row>
    <row r="144" spans="1:4" x14ac:dyDescent="0.2">
      <c r="A144" s="319" t="s">
        <v>1008</v>
      </c>
      <c r="B144" s="320" t="s">
        <v>1009</v>
      </c>
      <c r="C144" s="319" t="s">
        <v>1007</v>
      </c>
      <c r="D144" s="321">
        <f>IFERROR(ROUND(AVERAGEIFS('PRECIOS VICTOR'!$D:$D,'PRECIOS VICTOR'!$A:$A,$A144),0),"")</f>
        <v>2975</v>
      </c>
    </row>
    <row r="145" spans="1:4" x14ac:dyDescent="0.2">
      <c r="A145" s="319" t="s">
        <v>822</v>
      </c>
      <c r="B145" s="320" t="s">
        <v>25</v>
      </c>
      <c r="C145" s="319" t="s">
        <v>15</v>
      </c>
      <c r="D145" s="321">
        <f>IFERROR(ROUND(AVERAGEIFS('PRECIOS VICTOR'!$D:$D,'PRECIOS VICTOR'!$A:$A,$A145),0),"")</f>
        <v>2488</v>
      </c>
    </row>
    <row r="146" spans="1:4" x14ac:dyDescent="0.2">
      <c r="A146" s="319" t="s">
        <v>1341</v>
      </c>
      <c r="B146" s="320" t="s">
        <v>1342</v>
      </c>
      <c r="C146" s="319" t="s">
        <v>111</v>
      </c>
      <c r="D146" s="321" t="str">
        <f>IFERROR(ROUND(AVERAGEIFS('PRECIOS VICTOR'!$D:$D,'PRECIOS VICTOR'!$A:$A,$A146),0),"")</f>
        <v/>
      </c>
    </row>
    <row r="147" spans="1:4" x14ac:dyDescent="0.2">
      <c r="A147" s="319" t="s">
        <v>825</v>
      </c>
      <c r="B147" s="320" t="s">
        <v>824</v>
      </c>
      <c r="C147" s="319" t="s">
        <v>15</v>
      </c>
      <c r="D147" s="321" t="str">
        <f>IFERROR(ROUND(AVERAGEIFS('PRECIOS VICTOR'!$D:$D,'PRECIOS VICTOR'!$A:$A,$A147),0),"")</f>
        <v/>
      </c>
    </row>
    <row r="148" spans="1:4" x14ac:dyDescent="0.2">
      <c r="A148" s="319" t="s">
        <v>826</v>
      </c>
      <c r="B148" s="320" t="s">
        <v>153</v>
      </c>
      <c r="C148" s="319" t="s">
        <v>15</v>
      </c>
      <c r="D148" s="321">
        <f>IFERROR(ROUND(AVERAGEIFS('PRECIOS VICTOR'!$D:$D,'PRECIOS VICTOR'!$A:$A,$A148),0),"")</f>
        <v>1417</v>
      </c>
    </row>
    <row r="149" spans="1:4" x14ac:dyDescent="0.2">
      <c r="A149" s="319" t="s">
        <v>827</v>
      </c>
      <c r="B149" s="320" t="s">
        <v>179</v>
      </c>
      <c r="C149" s="319" t="s">
        <v>15</v>
      </c>
      <c r="D149" s="321">
        <f>IFERROR(ROUND(AVERAGEIFS('PRECIOS VICTOR'!$D:$D,'PRECIOS VICTOR'!$A:$A,$A149),0),"")</f>
        <v>11200</v>
      </c>
    </row>
    <row r="150" spans="1:4" x14ac:dyDescent="0.2">
      <c r="A150" s="319" t="s">
        <v>1343</v>
      </c>
      <c r="B150" s="320" t="s">
        <v>179</v>
      </c>
      <c r="C150" s="319" t="s">
        <v>906</v>
      </c>
      <c r="D150" s="321" t="str">
        <f>IFERROR(ROUND(AVERAGEIFS('PRECIOS VICTOR'!$D:$D,'PRECIOS VICTOR'!$A:$A,$A150),0),"")</f>
        <v/>
      </c>
    </row>
    <row r="151" spans="1:4" x14ac:dyDescent="0.2">
      <c r="A151" s="319" t="s">
        <v>1344</v>
      </c>
      <c r="B151" s="320" t="s">
        <v>1345</v>
      </c>
      <c r="C151" s="319" t="s">
        <v>906</v>
      </c>
      <c r="D151" s="321" t="str">
        <f>IFERROR(ROUND(AVERAGEIFS('PRECIOS VICTOR'!$D:$D,'PRECIOS VICTOR'!$A:$A,$A151),0),"")</f>
        <v/>
      </c>
    </row>
    <row r="152" spans="1:4" x14ac:dyDescent="0.2">
      <c r="A152" s="319" t="s">
        <v>828</v>
      </c>
      <c r="B152" s="320" t="s">
        <v>38</v>
      </c>
      <c r="C152" s="319" t="s">
        <v>15</v>
      </c>
      <c r="D152" s="321">
        <f>IFERROR(ROUND(AVERAGEIFS('PRECIOS VICTOR'!$D:$D,'PRECIOS VICTOR'!$A:$A,$A152),0),"")</f>
        <v>7058</v>
      </c>
    </row>
    <row r="153" spans="1:4" x14ac:dyDescent="0.2">
      <c r="A153" s="319" t="s">
        <v>829</v>
      </c>
      <c r="B153" s="320" t="s">
        <v>623</v>
      </c>
      <c r="C153" s="319" t="s">
        <v>942</v>
      </c>
      <c r="D153" s="321">
        <f>IFERROR(ROUND(AVERAGEIFS('PRECIOS VICTOR'!$D:$D,'PRECIOS VICTOR'!$A:$A,$A153),0),"")</f>
        <v>2145</v>
      </c>
    </row>
    <row r="154" spans="1:4" x14ac:dyDescent="0.2">
      <c r="A154" s="319" t="s">
        <v>155</v>
      </c>
      <c r="B154" s="320" t="s">
        <v>154</v>
      </c>
      <c r="C154" s="319" t="s">
        <v>15</v>
      </c>
      <c r="D154" s="321">
        <f>IFERROR(ROUND(AVERAGEIFS('PRECIOS VICTOR'!$D:$D,'PRECIOS VICTOR'!$A:$A,$A154),0),"")</f>
        <v>4610</v>
      </c>
    </row>
    <row r="155" spans="1:4" x14ac:dyDescent="0.2">
      <c r="A155" s="319" t="s">
        <v>1010</v>
      </c>
      <c r="B155" s="320" t="s">
        <v>1011</v>
      </c>
      <c r="C155" s="319" t="s">
        <v>15</v>
      </c>
      <c r="D155" s="321">
        <f>IFERROR(ROUND(AVERAGEIFS('PRECIOS VICTOR'!$D:$D,'PRECIOS VICTOR'!$A:$A,$A155),0),"")</f>
        <v>3627</v>
      </c>
    </row>
    <row r="156" spans="1:4" x14ac:dyDescent="0.2">
      <c r="A156" s="319" t="s">
        <v>1012</v>
      </c>
      <c r="B156" s="320" t="s">
        <v>1013</v>
      </c>
      <c r="C156" s="319" t="s">
        <v>15</v>
      </c>
      <c r="D156" s="321" t="str">
        <f>IFERROR(ROUND(AVERAGEIFS('PRECIOS VICTOR'!$D:$D,'PRECIOS VICTOR'!$A:$A,$A156),0),"")</f>
        <v/>
      </c>
    </row>
    <row r="157" spans="1:4" x14ac:dyDescent="0.2">
      <c r="A157" s="319" t="s">
        <v>1346</v>
      </c>
      <c r="B157" s="320" t="s">
        <v>1347</v>
      </c>
      <c r="C157" s="319" t="s">
        <v>942</v>
      </c>
      <c r="D157" s="321">
        <f>IFERROR(ROUND(AVERAGEIFS('PRECIOS VICTOR'!$D:$D,'PRECIOS VICTOR'!$A:$A,$A157),0),"")</f>
        <v>1890</v>
      </c>
    </row>
    <row r="158" spans="1:4" x14ac:dyDescent="0.2">
      <c r="A158" s="319" t="s">
        <v>68</v>
      </c>
      <c r="B158" s="320" t="s">
        <v>27</v>
      </c>
      <c r="C158" s="319" t="s">
        <v>15</v>
      </c>
      <c r="D158" s="321">
        <f>IFERROR(ROUND(AVERAGEIFS('PRECIOS VICTOR'!$D:$D,'PRECIOS VICTOR'!$A:$A,$A158),0),"")</f>
        <v>6545</v>
      </c>
    </row>
    <row r="159" spans="1:4" x14ac:dyDescent="0.2">
      <c r="A159" s="319" t="s">
        <v>1014</v>
      </c>
      <c r="B159" s="320" t="s">
        <v>27</v>
      </c>
      <c r="C159" s="319" t="s">
        <v>906</v>
      </c>
      <c r="D159" s="321">
        <f>IFERROR(ROUND(AVERAGEIFS('PRECIOS VICTOR'!$D:$D,'PRECIOS VICTOR'!$A:$A,$A159),0),"")</f>
        <v>3487</v>
      </c>
    </row>
    <row r="160" spans="1:4" x14ac:dyDescent="0.2">
      <c r="A160" s="319" t="s">
        <v>839</v>
      </c>
      <c r="B160" s="320" t="s">
        <v>582</v>
      </c>
      <c r="C160" s="319" t="s">
        <v>15</v>
      </c>
      <c r="D160" s="321">
        <f>IFERROR(ROUND(AVERAGEIFS('PRECIOS VICTOR'!$D:$D,'PRECIOS VICTOR'!$A:$A,$A160),0),"")</f>
        <v>640</v>
      </c>
    </row>
    <row r="161" spans="1:4" x14ac:dyDescent="0.2">
      <c r="A161" s="319" t="s">
        <v>1348</v>
      </c>
      <c r="B161" s="320" t="s">
        <v>1349</v>
      </c>
      <c r="C161" s="319" t="s">
        <v>15</v>
      </c>
      <c r="D161" s="321">
        <f>IFERROR(ROUND(AVERAGEIFS('PRECIOS VICTOR'!$D:$D,'PRECIOS VICTOR'!$A:$A,$A161),0),"")</f>
        <v>5290</v>
      </c>
    </row>
    <row r="162" spans="1:4" x14ac:dyDescent="0.2">
      <c r="A162" s="319" t="s">
        <v>1350</v>
      </c>
      <c r="B162" s="320" t="s">
        <v>1349</v>
      </c>
      <c r="C162" s="319" t="s">
        <v>906</v>
      </c>
      <c r="D162" s="321">
        <f>IFERROR(ROUND(AVERAGEIFS('PRECIOS VICTOR'!$D:$D,'PRECIOS VICTOR'!$A:$A,$A162),0),"")</f>
        <v>2130</v>
      </c>
    </row>
    <row r="163" spans="1:4" x14ac:dyDescent="0.2">
      <c r="A163" s="319" t="s">
        <v>1351</v>
      </c>
      <c r="B163" s="320" t="s">
        <v>1352</v>
      </c>
      <c r="C163" s="319" t="s">
        <v>15</v>
      </c>
      <c r="D163" s="321" t="str">
        <f>IFERROR(ROUND(AVERAGEIFS('PRECIOS VICTOR'!$D:$D,'PRECIOS VICTOR'!$A:$A,$A163),0),"")</f>
        <v/>
      </c>
    </row>
    <row r="164" spans="1:4" x14ac:dyDescent="0.2">
      <c r="A164" s="319" t="s">
        <v>157</v>
      </c>
      <c r="B164" s="320" t="s">
        <v>156</v>
      </c>
      <c r="C164" s="319" t="s">
        <v>111</v>
      </c>
      <c r="D164" s="321">
        <f>IFERROR(ROUND(AVERAGEIFS('PRECIOS VICTOR'!$D:$D,'PRECIOS VICTOR'!$A:$A,$A164),0),"")</f>
        <v>736</v>
      </c>
    </row>
    <row r="165" spans="1:4" x14ac:dyDescent="0.2">
      <c r="A165" s="319" t="s">
        <v>120</v>
      </c>
      <c r="B165" s="320" t="s">
        <v>121</v>
      </c>
      <c r="C165" s="319" t="s">
        <v>15</v>
      </c>
      <c r="D165" s="321">
        <f>IFERROR(ROUND(AVERAGEIFS('PRECIOS VICTOR'!$D:$D,'PRECIOS VICTOR'!$A:$A,$A165),0),"")</f>
        <v>1518</v>
      </c>
    </row>
    <row r="166" spans="1:4" x14ac:dyDescent="0.2">
      <c r="A166" s="319" t="s">
        <v>70</v>
      </c>
      <c r="B166" s="320" t="s">
        <v>14</v>
      </c>
      <c r="C166" s="319" t="s">
        <v>202</v>
      </c>
      <c r="D166" s="321">
        <f>IFERROR(ROUND(AVERAGEIFS('PRECIOS VICTOR'!$D:$D,'PRECIOS VICTOR'!$A:$A,$A166),0),"")</f>
        <v>774</v>
      </c>
    </row>
    <row r="167" spans="1:4" x14ac:dyDescent="0.2">
      <c r="A167" s="319" t="s">
        <v>262</v>
      </c>
      <c r="B167" s="320" t="s">
        <v>261</v>
      </c>
      <c r="C167" s="319" t="s">
        <v>15</v>
      </c>
      <c r="D167" s="321" t="str">
        <f>IFERROR(ROUND(AVERAGEIFS('PRECIOS VICTOR'!$D:$D,'PRECIOS VICTOR'!$A:$A,$A167),0),"")</f>
        <v/>
      </c>
    </row>
    <row r="168" spans="1:4" x14ac:dyDescent="0.2">
      <c r="A168" s="319" t="s">
        <v>1015</v>
      </c>
      <c r="B168" s="320" t="s">
        <v>1016</v>
      </c>
      <c r="C168" s="319" t="s">
        <v>15</v>
      </c>
      <c r="D168" s="321" t="str">
        <f>IFERROR(ROUND(AVERAGEIFS('PRECIOS VICTOR'!$D:$D,'PRECIOS VICTOR'!$A:$A,$A168),0),"")</f>
        <v/>
      </c>
    </row>
    <row r="169" spans="1:4" x14ac:dyDescent="0.2">
      <c r="A169" s="319" t="s">
        <v>235</v>
      </c>
      <c r="B169" s="320" t="s">
        <v>1017</v>
      </c>
      <c r="C169" s="319" t="s">
        <v>111</v>
      </c>
      <c r="D169" s="321">
        <f>IFERROR(ROUND(AVERAGEIFS('PRECIOS VICTOR'!$D:$D,'PRECIOS VICTOR'!$A:$A,$A169),0),"")</f>
        <v>1401</v>
      </c>
    </row>
    <row r="170" spans="1:4" x14ac:dyDescent="0.2">
      <c r="A170" s="319" t="s">
        <v>1353</v>
      </c>
      <c r="B170" s="320" t="s">
        <v>1354</v>
      </c>
      <c r="C170" s="319" t="s">
        <v>942</v>
      </c>
      <c r="D170" s="321" t="str">
        <f>IFERROR(ROUND(AVERAGEIFS('PRECIOS VICTOR'!$D:$D,'PRECIOS VICTOR'!$A:$A,$A170),0),"")</f>
        <v/>
      </c>
    </row>
    <row r="171" spans="1:4" x14ac:dyDescent="0.2">
      <c r="A171" s="319" t="s">
        <v>845</v>
      </c>
      <c r="B171" s="320" t="s">
        <v>586</v>
      </c>
      <c r="C171" s="319" t="s">
        <v>15</v>
      </c>
      <c r="D171" s="321" t="str">
        <f>IFERROR(ROUND(AVERAGEIFS('PRECIOS VICTOR'!$D:$D,'PRECIOS VICTOR'!$A:$A,$A171),0),"")</f>
        <v/>
      </c>
    </row>
    <row r="172" spans="1:4" x14ac:dyDescent="0.2">
      <c r="A172" s="319" t="s">
        <v>1355</v>
      </c>
      <c r="B172" s="320" t="s">
        <v>1356</v>
      </c>
      <c r="C172" s="319" t="s">
        <v>111</v>
      </c>
      <c r="D172" s="321" t="str">
        <f>IFERROR(ROUND(AVERAGEIFS('PRECIOS VICTOR'!$D:$D,'PRECIOS VICTOR'!$A:$A,$A172),0),"")</f>
        <v/>
      </c>
    </row>
    <row r="173" spans="1:4" x14ac:dyDescent="0.2">
      <c r="A173" s="319" t="s">
        <v>90</v>
      </c>
      <c r="B173" s="320" t="s">
        <v>89</v>
      </c>
      <c r="C173" s="319" t="s">
        <v>15</v>
      </c>
      <c r="D173" s="321">
        <f>IFERROR(ROUND(AVERAGEIFS('PRECIOS VICTOR'!$D:$D,'PRECIOS VICTOR'!$A:$A,$A173),0),"")</f>
        <v>1693</v>
      </c>
    </row>
    <row r="174" spans="1:4" x14ac:dyDescent="0.2">
      <c r="A174" s="319" t="s">
        <v>847</v>
      </c>
      <c r="B174" s="320" t="s">
        <v>1023</v>
      </c>
      <c r="C174" s="319" t="s">
        <v>942</v>
      </c>
      <c r="D174" s="321" t="str">
        <f>IFERROR(ROUND(AVERAGEIFS('PRECIOS VICTOR'!$D:$D,'PRECIOS VICTOR'!$A:$A,$A174),0),"")</f>
        <v/>
      </c>
    </row>
    <row r="175" spans="1:4" x14ac:dyDescent="0.2">
      <c r="A175" s="319" t="s">
        <v>848</v>
      </c>
      <c r="B175" s="320" t="s">
        <v>1023</v>
      </c>
      <c r="C175" s="319" t="s">
        <v>1007</v>
      </c>
      <c r="D175" s="321">
        <f>IFERROR(ROUND(AVERAGEIFS('PRECIOS VICTOR'!$D:$D,'PRECIOS VICTOR'!$A:$A,$A175),0),"")</f>
        <v>2319</v>
      </c>
    </row>
    <row r="176" spans="1:4" x14ac:dyDescent="0.2">
      <c r="A176" s="319" t="s">
        <v>850</v>
      </c>
      <c r="B176" s="320" t="s">
        <v>590</v>
      </c>
      <c r="C176" s="319" t="s">
        <v>15</v>
      </c>
      <c r="D176" s="321" t="str">
        <f>IFERROR(ROUND(AVERAGEIFS('PRECIOS VICTOR'!$D:$D,'PRECIOS VICTOR'!$A:$A,$A176),0),"")</f>
        <v/>
      </c>
    </row>
    <row r="177" spans="1:5" x14ac:dyDescent="0.2">
      <c r="A177" s="319" t="s">
        <v>1357</v>
      </c>
      <c r="B177" s="320" t="s">
        <v>1358</v>
      </c>
      <c r="C177" s="319" t="s">
        <v>15</v>
      </c>
      <c r="D177" s="321" t="str">
        <f>IFERROR(ROUND(AVERAGEIFS('PRECIOS VICTOR'!$D:$D,'PRECIOS VICTOR'!$A:$A,$A177),0),"")</f>
        <v/>
      </c>
    </row>
    <row r="178" spans="1:5" x14ac:dyDescent="0.2">
      <c r="A178" s="319" t="s">
        <v>380</v>
      </c>
      <c r="B178" s="320" t="s">
        <v>381</v>
      </c>
      <c r="C178" s="319" t="s">
        <v>15</v>
      </c>
      <c r="D178" s="321">
        <f>IFERROR(ROUND(AVERAGEIFS('PRECIOS VICTOR'!$D:$D,'PRECIOS VICTOR'!$A:$A,$A178),0),"")</f>
        <v>2645</v>
      </c>
    </row>
    <row r="179" spans="1:5" x14ac:dyDescent="0.2">
      <c r="A179" s="319" t="s">
        <v>1025</v>
      </c>
      <c r="B179" s="320" t="s">
        <v>1026</v>
      </c>
      <c r="C179" s="319" t="s">
        <v>15</v>
      </c>
      <c r="D179" s="321" t="str">
        <f>IFERROR(ROUND(AVERAGEIFS('PRECIOS VICTOR'!$D:$D,'PRECIOS VICTOR'!$A:$A,$A179),0),"")</f>
        <v/>
      </c>
    </row>
    <row r="180" spans="1:5" x14ac:dyDescent="0.2">
      <c r="A180" s="319" t="s">
        <v>852</v>
      </c>
      <c r="B180" s="320" t="s">
        <v>339</v>
      </c>
      <c r="C180" s="319" t="s">
        <v>15</v>
      </c>
      <c r="D180" s="321">
        <f>IFERROR(ROUND(AVERAGEIFS('PRECIOS VICTOR'!$D:$D,'PRECIOS VICTOR'!$A:$A,$A180),0),"")</f>
        <v>2590</v>
      </c>
    </row>
    <row r="181" spans="1:5" x14ac:dyDescent="0.2">
      <c r="A181" s="319" t="s">
        <v>1359</v>
      </c>
      <c r="B181" s="320" t="s">
        <v>1360</v>
      </c>
      <c r="C181" s="319" t="s">
        <v>15</v>
      </c>
      <c r="D181" s="321" t="str">
        <f>IFERROR(ROUND(AVERAGEIFS('PRECIOS VICTOR'!$D:$D,'PRECIOS VICTOR'!$A:$A,$A181),0),"")</f>
        <v/>
      </c>
    </row>
    <row r="182" spans="1:5" x14ac:dyDescent="0.2">
      <c r="A182" s="319" t="s">
        <v>159</v>
      </c>
      <c r="B182" s="320" t="s">
        <v>158</v>
      </c>
      <c r="C182" s="319" t="s">
        <v>111</v>
      </c>
      <c r="D182" s="321">
        <f>IFERROR(ROUND(AVERAGEIFS('PRECIOS VICTOR'!$D:$D,'PRECIOS VICTOR'!$A:$A,$A182),0),"")</f>
        <v>2309</v>
      </c>
      <c r="E182" s="316">
        <v>1395</v>
      </c>
    </row>
    <row r="183" spans="1:5" x14ac:dyDescent="0.2">
      <c r="A183" s="319" t="s">
        <v>1361</v>
      </c>
      <c r="B183" s="320" t="s">
        <v>1362</v>
      </c>
      <c r="C183" s="319" t="s">
        <v>111</v>
      </c>
      <c r="D183" s="321" t="str">
        <f>IFERROR(ROUND(AVERAGEIFS('PRECIOS VICTOR'!$D:$D,'PRECIOS VICTOR'!$A:$A,$A183),0),"")</f>
        <v/>
      </c>
    </row>
    <row r="184" spans="1:5" x14ac:dyDescent="0.2">
      <c r="A184" s="319" t="s">
        <v>1027</v>
      </c>
      <c r="B184" s="320" t="s">
        <v>1028</v>
      </c>
      <c r="C184" s="319" t="s">
        <v>15</v>
      </c>
      <c r="D184" s="321" t="str">
        <f>IFERROR(ROUND(AVERAGEIFS('PRECIOS VICTOR'!$D:$D,'PRECIOS VICTOR'!$A:$A,$A184),0),"")</f>
        <v/>
      </c>
    </row>
    <row r="185" spans="1:5" x14ac:dyDescent="0.2">
      <c r="A185" s="319" t="s">
        <v>1363</v>
      </c>
      <c r="B185" s="320" t="s">
        <v>1364</v>
      </c>
      <c r="C185" s="319" t="s">
        <v>111</v>
      </c>
      <c r="D185" s="321" t="str">
        <f>IFERROR(ROUND(AVERAGEIFS('PRECIOS VICTOR'!$D:$D,'PRECIOS VICTOR'!$A:$A,$A185),0),"")</f>
        <v/>
      </c>
    </row>
    <row r="186" spans="1:5" x14ac:dyDescent="0.2">
      <c r="A186" s="319" t="s">
        <v>1365</v>
      </c>
      <c r="B186" s="320" t="s">
        <v>1366</v>
      </c>
      <c r="C186" s="319" t="s">
        <v>15</v>
      </c>
      <c r="D186" s="321" t="str">
        <f>IFERROR(ROUND(AVERAGEIFS('PRECIOS VICTOR'!$D:$D,'PRECIOS VICTOR'!$A:$A,$A186),0),"")</f>
        <v/>
      </c>
    </row>
    <row r="187" spans="1:5" x14ac:dyDescent="0.2">
      <c r="A187" s="319" t="s">
        <v>1029</v>
      </c>
      <c r="B187" s="320" t="s">
        <v>484</v>
      </c>
      <c r="C187" s="319" t="s">
        <v>15</v>
      </c>
      <c r="D187" s="321">
        <f>IFERROR(ROUND(AVERAGEIFS('PRECIOS VICTOR'!$D:$D,'PRECIOS VICTOR'!$A:$A,$A187),0),"")</f>
        <v>980</v>
      </c>
    </row>
    <row r="188" spans="1:5" x14ac:dyDescent="0.2">
      <c r="A188" s="319" t="s">
        <v>1030</v>
      </c>
      <c r="B188" s="320" t="s">
        <v>1031</v>
      </c>
      <c r="C188" s="319" t="s">
        <v>15</v>
      </c>
      <c r="D188" s="321" t="str">
        <f>IFERROR(ROUND(AVERAGEIFS('PRECIOS VICTOR'!$D:$D,'PRECIOS VICTOR'!$A:$A,$A188),0),"")</f>
        <v/>
      </c>
    </row>
    <row r="189" spans="1:5" x14ac:dyDescent="0.2">
      <c r="A189" s="319" t="s">
        <v>637</v>
      </c>
      <c r="B189" s="320" t="s">
        <v>100</v>
      </c>
      <c r="C189" s="319" t="s">
        <v>15</v>
      </c>
      <c r="D189" s="321">
        <f>IFERROR(ROUND(AVERAGEIFS('PRECIOS VICTOR'!$D:$D,'PRECIOS VICTOR'!$A:$A,$A189),0),"")</f>
        <v>7291</v>
      </c>
    </row>
    <row r="190" spans="1:5" x14ac:dyDescent="0.2">
      <c r="A190" s="319" t="s">
        <v>1367</v>
      </c>
      <c r="B190" s="320" t="s">
        <v>1368</v>
      </c>
      <c r="C190" s="319" t="s">
        <v>111</v>
      </c>
      <c r="D190" s="321" t="str">
        <f>IFERROR(ROUND(AVERAGEIFS('PRECIOS VICTOR'!$D:$D,'PRECIOS VICTOR'!$A:$A,$A190),0),"")</f>
        <v/>
      </c>
    </row>
    <row r="191" spans="1:5" x14ac:dyDescent="0.2">
      <c r="A191" s="319" t="s">
        <v>857</v>
      </c>
      <c r="B191" s="320" t="s">
        <v>596</v>
      </c>
      <c r="C191" s="319" t="s">
        <v>111</v>
      </c>
      <c r="D191" s="321">
        <f>IFERROR(ROUND(AVERAGEIFS('PRECIOS VICTOR'!$D:$D,'PRECIOS VICTOR'!$A:$A,$A191),0),"")</f>
        <v>3325</v>
      </c>
    </row>
    <row r="192" spans="1:5" x14ac:dyDescent="0.2">
      <c r="A192" s="319" t="s">
        <v>71</v>
      </c>
      <c r="B192" s="320" t="s">
        <v>39</v>
      </c>
      <c r="C192" s="319" t="s">
        <v>906</v>
      </c>
      <c r="D192" s="321">
        <f>IFERROR(ROUND(AVERAGEIFS('PRECIOS VICTOR'!$D:$D,'PRECIOS VICTOR'!$A:$A,$A192),0),"")</f>
        <v>1218</v>
      </c>
    </row>
    <row r="193" spans="1:4" x14ac:dyDescent="0.2">
      <c r="A193" s="319" t="s">
        <v>1032</v>
      </c>
      <c r="B193" s="320" t="s">
        <v>39</v>
      </c>
      <c r="C193" s="319" t="s">
        <v>15</v>
      </c>
      <c r="D193" s="321" t="str">
        <f>IFERROR(ROUND(AVERAGEIFS('PRECIOS VICTOR'!$D:$D,'PRECIOS VICTOR'!$A:$A,$A193),0),"")</f>
        <v/>
      </c>
    </row>
    <row r="194" spans="1:4" x14ac:dyDescent="0.2">
      <c r="A194" s="319" t="s">
        <v>858</v>
      </c>
      <c r="B194" s="320" t="s">
        <v>597</v>
      </c>
      <c r="C194" s="319" t="s">
        <v>15</v>
      </c>
      <c r="D194" s="321" t="str">
        <f>IFERROR(ROUND(AVERAGEIFS('PRECIOS VICTOR'!$D:$D,'PRECIOS VICTOR'!$A:$A,$A194),0),"")</f>
        <v/>
      </c>
    </row>
    <row r="195" spans="1:4" x14ac:dyDescent="0.2">
      <c r="A195" s="319" t="s">
        <v>1369</v>
      </c>
      <c r="B195" s="320" t="s">
        <v>1370</v>
      </c>
      <c r="C195" s="319" t="s">
        <v>1007</v>
      </c>
      <c r="D195" s="321" t="str">
        <f>IFERROR(ROUND(AVERAGEIFS('PRECIOS VICTOR'!$D:$D,'PRECIOS VICTOR'!$A:$A,$A195),0),"")</f>
        <v/>
      </c>
    </row>
    <row r="196" spans="1:4" x14ac:dyDescent="0.2">
      <c r="A196" s="319" t="s">
        <v>860</v>
      </c>
      <c r="B196" s="320" t="s">
        <v>491</v>
      </c>
      <c r="C196" s="319" t="s">
        <v>111</v>
      </c>
      <c r="D196" s="321">
        <f>IFERROR(ROUND(AVERAGEIFS('PRECIOS VICTOR'!$D:$D,'PRECIOS VICTOR'!$A:$A,$A196),0),"")</f>
        <v>1614</v>
      </c>
    </row>
    <row r="197" spans="1:4" x14ac:dyDescent="0.2">
      <c r="A197" s="319" t="s">
        <v>1371</v>
      </c>
      <c r="B197" s="320" t="s">
        <v>1372</v>
      </c>
      <c r="C197" s="319" t="s">
        <v>111</v>
      </c>
      <c r="D197" s="321">
        <f>IFERROR(ROUND(AVERAGEIFS('PRECIOS VICTOR'!$D:$D,'PRECIOS VICTOR'!$A:$A,$A197),0),"")</f>
        <v>10383</v>
      </c>
    </row>
    <row r="198" spans="1:4" x14ac:dyDescent="0.2">
      <c r="A198" s="319" t="s">
        <v>862</v>
      </c>
      <c r="B198" s="320" t="s">
        <v>600</v>
      </c>
      <c r="C198" s="319" t="s">
        <v>111</v>
      </c>
      <c r="D198" s="321" t="str">
        <f>IFERROR(ROUND(AVERAGEIFS('PRECIOS VICTOR'!$D:$D,'PRECIOS VICTOR'!$A:$A,$A198),0),"")</f>
        <v/>
      </c>
    </row>
    <row r="199" spans="1:4" x14ac:dyDescent="0.2">
      <c r="A199" s="319" t="s">
        <v>1373</v>
      </c>
      <c r="B199" s="320" t="s">
        <v>1374</v>
      </c>
      <c r="C199" s="319" t="s">
        <v>111</v>
      </c>
      <c r="D199" s="321" t="str">
        <f>IFERROR(ROUND(AVERAGEIFS('PRECIOS VICTOR'!$D:$D,'PRECIOS VICTOR'!$A:$A,$A199),0),"")</f>
        <v/>
      </c>
    </row>
    <row r="200" spans="1:4" x14ac:dyDescent="0.2">
      <c r="A200" s="319" t="s">
        <v>1375</v>
      </c>
      <c r="B200" s="320" t="s">
        <v>1376</v>
      </c>
      <c r="C200" s="319" t="s">
        <v>111</v>
      </c>
      <c r="D200" s="321" t="str">
        <f>IFERROR(ROUND(AVERAGEIFS('PRECIOS VICTOR'!$D:$D,'PRECIOS VICTOR'!$A:$A,$A200),0),"")</f>
        <v/>
      </c>
    </row>
    <row r="201" spans="1:4" x14ac:dyDescent="0.2">
      <c r="A201" s="319" t="s">
        <v>863</v>
      </c>
      <c r="B201" s="320" t="s">
        <v>1035</v>
      </c>
      <c r="C201" s="319" t="s">
        <v>947</v>
      </c>
      <c r="D201" s="321" t="str">
        <f>IFERROR(ROUND(AVERAGEIFS('PRECIOS VICTOR'!$D:$D,'PRECIOS VICTOR'!$A:$A,$A201),0),"")</f>
        <v/>
      </c>
    </row>
    <row r="202" spans="1:4" x14ac:dyDescent="0.2">
      <c r="A202" s="319" t="s">
        <v>865</v>
      </c>
      <c r="B202" s="320" t="s">
        <v>603</v>
      </c>
      <c r="C202" s="319" t="s">
        <v>947</v>
      </c>
      <c r="D202" s="321" t="str">
        <f>IFERROR(ROUND(AVERAGEIFS('PRECIOS VICTOR'!$D:$D,'PRECIOS VICTOR'!$A:$A,$A202),0),"")</f>
        <v/>
      </c>
    </row>
    <row r="203" spans="1:4" x14ac:dyDescent="0.2">
      <c r="A203" s="319" t="s">
        <v>1377</v>
      </c>
      <c r="B203" s="320" t="s">
        <v>1378</v>
      </c>
      <c r="C203" s="319" t="s">
        <v>947</v>
      </c>
      <c r="D203" s="321" t="str">
        <f>IFERROR(ROUND(AVERAGEIFS('PRECIOS VICTOR'!$D:$D,'PRECIOS VICTOR'!$A:$A,$A203),0),"")</f>
        <v/>
      </c>
    </row>
    <row r="204" spans="1:4" x14ac:dyDescent="0.2">
      <c r="A204" s="319" t="s">
        <v>1379</v>
      </c>
      <c r="B204" s="320" t="s">
        <v>1380</v>
      </c>
      <c r="C204" s="319" t="s">
        <v>947</v>
      </c>
      <c r="D204" s="321" t="str">
        <f>IFERROR(ROUND(AVERAGEIFS('PRECIOS VICTOR'!$D:$D,'PRECIOS VICTOR'!$A:$A,$A204),0),"")</f>
        <v/>
      </c>
    </row>
    <row r="205" spans="1:4" x14ac:dyDescent="0.2">
      <c r="A205" s="319" t="s">
        <v>1381</v>
      </c>
      <c r="B205" s="320" t="s">
        <v>1382</v>
      </c>
      <c r="C205" s="319" t="s">
        <v>956</v>
      </c>
      <c r="D205" s="321" t="str">
        <f>IFERROR(ROUND(AVERAGEIFS('PRECIOS VICTOR'!$D:$D,'PRECIOS VICTOR'!$A:$A,$A205),0),"")</f>
        <v/>
      </c>
    </row>
    <row r="206" spans="1:4" x14ac:dyDescent="0.2">
      <c r="A206" s="319" t="s">
        <v>82</v>
      </c>
      <c r="B206" s="320" t="s">
        <v>41</v>
      </c>
      <c r="C206" s="319" t="s">
        <v>947</v>
      </c>
      <c r="D206" s="321">
        <f>IFERROR(ROUND(AVERAGEIFS('PRECIOS VICTOR'!$D:$D,'PRECIOS VICTOR'!$A:$A,$A206),0),"")</f>
        <v>3462</v>
      </c>
    </row>
    <row r="207" spans="1:4" x14ac:dyDescent="0.2">
      <c r="A207" s="319" t="s">
        <v>161</v>
      </c>
      <c r="B207" s="320" t="s">
        <v>160</v>
      </c>
      <c r="C207" s="319" t="s">
        <v>111</v>
      </c>
      <c r="D207" s="321" t="str">
        <f>IFERROR(ROUND(AVERAGEIFS('PRECIOS VICTOR'!$D:$D,'PRECIOS VICTOR'!$A:$A,$A207),0),"")</f>
        <v/>
      </c>
    </row>
    <row r="208" spans="1:4" x14ac:dyDescent="0.2">
      <c r="A208" s="319" t="s">
        <v>870</v>
      </c>
      <c r="B208" s="320" t="s">
        <v>1036</v>
      </c>
      <c r="C208" s="319" t="s">
        <v>906</v>
      </c>
      <c r="D208" s="321">
        <f>IFERROR(ROUND(AVERAGEIFS('PRECIOS VICTOR'!$D:$D,'PRECIOS VICTOR'!$A:$A,$A208),0),"")</f>
        <v>1414</v>
      </c>
    </row>
    <row r="209" spans="1:4" x14ac:dyDescent="0.2">
      <c r="A209" s="319" t="s">
        <v>869</v>
      </c>
      <c r="B209" s="320" t="s">
        <v>1036</v>
      </c>
      <c r="C209" s="319" t="s">
        <v>15</v>
      </c>
      <c r="D209" s="321" t="str">
        <f>IFERROR(ROUND(AVERAGEIFS('PRECIOS VICTOR'!$D:$D,'PRECIOS VICTOR'!$A:$A,$A209),0),"")</f>
        <v/>
      </c>
    </row>
    <row r="210" spans="1:4" x14ac:dyDescent="0.2">
      <c r="A210" s="319" t="s">
        <v>1383</v>
      </c>
      <c r="B210" s="320" t="s">
        <v>1384</v>
      </c>
      <c r="C210" s="319" t="s">
        <v>15</v>
      </c>
      <c r="D210" s="321">
        <f>IFERROR(ROUND(AVERAGEIFS('PRECIOS VICTOR'!$D:$D,'PRECIOS VICTOR'!$A:$A,$A210),0),"")</f>
        <v>3332</v>
      </c>
    </row>
    <row r="211" spans="1:4" x14ac:dyDescent="0.2">
      <c r="A211" s="319" t="s">
        <v>1385</v>
      </c>
      <c r="B211" s="320" t="s">
        <v>1386</v>
      </c>
      <c r="C211" s="319" t="s">
        <v>973</v>
      </c>
      <c r="D211" s="321" t="str">
        <f>IFERROR(ROUND(AVERAGEIFS('PRECIOS VICTOR'!$D:$D,'PRECIOS VICTOR'!$A:$A,$A211),0),"")</f>
        <v/>
      </c>
    </row>
    <row r="212" spans="1:4" x14ac:dyDescent="0.2">
      <c r="A212" s="319" t="s">
        <v>1037</v>
      </c>
      <c r="B212" s="320" t="s">
        <v>1038</v>
      </c>
      <c r="C212" s="319" t="s">
        <v>973</v>
      </c>
      <c r="D212" s="321" t="str">
        <f>IFERROR(ROUND(AVERAGEIFS('PRECIOS VICTOR'!$D:$D,'PRECIOS VICTOR'!$A:$A,$A212),0),"")</f>
        <v/>
      </c>
    </row>
    <row r="213" spans="1:4" x14ac:dyDescent="0.2">
      <c r="A213" s="319" t="s">
        <v>875</v>
      </c>
      <c r="B213" s="320" t="s">
        <v>609</v>
      </c>
      <c r="C213" s="319" t="s">
        <v>973</v>
      </c>
      <c r="D213" s="321" t="str">
        <f>IFERROR(ROUND(AVERAGEIFS('PRECIOS VICTOR'!$D:$D,'PRECIOS VICTOR'!$A:$A,$A213),0),"")</f>
        <v/>
      </c>
    </row>
    <row r="214" spans="1:4" x14ac:dyDescent="0.2">
      <c r="A214" s="319" t="s">
        <v>1387</v>
      </c>
      <c r="B214" s="320" t="s">
        <v>1241</v>
      </c>
      <c r="C214" s="319" t="s">
        <v>15</v>
      </c>
      <c r="D214" s="321">
        <f>IFERROR(ROUND(AVERAGEIFS('PRECIOS VICTOR'!$D:$D,'PRECIOS VICTOR'!$A:$A,$A214),0),"")</f>
        <v>3850</v>
      </c>
    </row>
    <row r="215" spans="1:4" x14ac:dyDescent="0.2">
      <c r="A215" s="319" t="s">
        <v>878</v>
      </c>
      <c r="B215" s="320" t="s">
        <v>610</v>
      </c>
      <c r="C215" s="319" t="s">
        <v>1039</v>
      </c>
      <c r="D215" s="321" t="str">
        <f>IFERROR(ROUND(AVERAGEIFS('PRECIOS VICTOR'!$D:$D,'PRECIOS VICTOR'!$A:$A,$A215),0),"")</f>
        <v/>
      </c>
    </row>
    <row r="216" spans="1:4" x14ac:dyDescent="0.2">
      <c r="A216" s="319" t="s">
        <v>85</v>
      </c>
      <c r="B216" s="320" t="s">
        <v>84</v>
      </c>
      <c r="C216" s="319" t="s">
        <v>15</v>
      </c>
      <c r="D216" s="321">
        <f>IFERROR(ROUND(AVERAGEIFS('PRECIOS VICTOR'!$D:$D,'PRECIOS VICTOR'!$A:$A,$A216),0),"")</f>
        <v>1669</v>
      </c>
    </row>
    <row r="217" spans="1:4" x14ac:dyDescent="0.2">
      <c r="A217" s="319" t="s">
        <v>879</v>
      </c>
      <c r="B217" s="320" t="s">
        <v>227</v>
      </c>
      <c r="C217" s="319" t="s">
        <v>111</v>
      </c>
      <c r="D217" s="321">
        <f>IFERROR(ROUND(AVERAGEIFS('PRECIOS VICTOR'!$D:$D,'PRECIOS VICTOR'!$A:$A,$A217),0),"")</f>
        <v>595</v>
      </c>
    </row>
    <row r="218" spans="1:4" x14ac:dyDescent="0.2">
      <c r="A218" s="319" t="s">
        <v>880</v>
      </c>
      <c r="B218" s="320" t="s">
        <v>611</v>
      </c>
      <c r="C218" s="319" t="s">
        <v>15</v>
      </c>
      <c r="D218" s="321" t="str">
        <f>IFERROR(ROUND(AVERAGEIFS('PRECIOS VICTOR'!$D:$D,'PRECIOS VICTOR'!$A:$A,$A218),0),"")</f>
        <v/>
      </c>
    </row>
    <row r="219" spans="1:4" x14ac:dyDescent="0.2">
      <c r="A219" s="319" t="s">
        <v>163</v>
      </c>
      <c r="B219" s="320" t="s">
        <v>162</v>
      </c>
      <c r="C219" s="319" t="s">
        <v>15</v>
      </c>
      <c r="D219" s="321">
        <f>IFERROR(ROUND(AVERAGEIFS('PRECIOS VICTOR'!$D:$D,'PRECIOS VICTOR'!$A:$A,$A219),0),"")</f>
        <v>2380</v>
      </c>
    </row>
    <row r="220" spans="1:4" x14ac:dyDescent="0.2">
      <c r="A220" s="319" t="s">
        <v>230</v>
      </c>
      <c r="B220" s="320" t="s">
        <v>229</v>
      </c>
      <c r="C220" s="319" t="s">
        <v>947</v>
      </c>
      <c r="D220" s="321">
        <f>IFERROR(ROUND(AVERAGEIFS('PRECIOS VICTOR'!$D:$D,'PRECIOS VICTOR'!$A:$A,$A220),0),"")</f>
        <v>2330</v>
      </c>
    </row>
    <row r="221" spans="1:4" x14ac:dyDescent="0.2">
      <c r="A221" s="319" t="s">
        <v>87</v>
      </c>
      <c r="B221" s="320" t="s">
        <v>22</v>
      </c>
      <c r="C221" s="319" t="s">
        <v>15</v>
      </c>
      <c r="D221" s="321">
        <f>IFERROR(ROUND(AVERAGEIFS('PRECIOS VICTOR'!$D:$D,'PRECIOS VICTOR'!$A:$A,$A221),0),"")</f>
        <v>3513</v>
      </c>
    </row>
    <row r="222" spans="1:4" x14ac:dyDescent="0.2">
      <c r="A222" s="319" t="s">
        <v>1042</v>
      </c>
      <c r="B222" s="320" t="s">
        <v>22</v>
      </c>
      <c r="C222" s="319" t="s">
        <v>906</v>
      </c>
      <c r="D222" s="321">
        <f>IFERROR(ROUND(AVERAGEIFS('PRECIOS VICTOR'!$D:$D,'PRECIOS VICTOR'!$A:$A,$A222),0),"")</f>
        <v>2725</v>
      </c>
    </row>
    <row r="223" spans="1:4" x14ac:dyDescent="0.2">
      <c r="A223" s="319" t="s">
        <v>881</v>
      </c>
      <c r="B223" s="320" t="s">
        <v>439</v>
      </c>
      <c r="C223" s="319" t="s">
        <v>947</v>
      </c>
      <c r="D223" s="321" t="str">
        <f>IFERROR(ROUND(AVERAGEIFS('PRECIOS VICTOR'!$D:$D,'PRECIOS VICTOR'!$A:$A,$A223),0),"")</f>
        <v/>
      </c>
    </row>
    <row r="224" spans="1:4" x14ac:dyDescent="0.2">
      <c r="A224" s="319" t="s">
        <v>883</v>
      </c>
      <c r="B224" s="320" t="s">
        <v>613</v>
      </c>
      <c r="C224" s="319" t="s">
        <v>973</v>
      </c>
      <c r="D224" s="321" t="str">
        <f>IFERROR(ROUND(AVERAGEIFS('PRECIOS VICTOR'!$D:$D,'PRECIOS VICTOR'!$A:$A,$A224),0),"")</f>
        <v/>
      </c>
    </row>
    <row r="225" spans="1:4" x14ac:dyDescent="0.2">
      <c r="A225" s="319" t="s">
        <v>200</v>
      </c>
      <c r="B225" s="320" t="s">
        <v>199</v>
      </c>
      <c r="C225" s="319" t="s">
        <v>15</v>
      </c>
      <c r="D225" s="321">
        <f>IFERROR(ROUND(AVERAGEIFS('PRECIOS VICTOR'!$D:$D,'PRECIOS VICTOR'!$A:$A,$A225),0),"")</f>
        <v>1287</v>
      </c>
    </row>
    <row r="226" spans="1:4" x14ac:dyDescent="0.2">
      <c r="A226" s="319" t="s">
        <v>1043</v>
      </c>
      <c r="B226" s="320" t="s">
        <v>1044</v>
      </c>
      <c r="C226" s="319" t="s">
        <v>15</v>
      </c>
      <c r="D226" s="321">
        <f>IFERROR(ROUND(AVERAGEIFS('PRECIOS VICTOR'!$D:$D,'PRECIOS VICTOR'!$A:$A,$A226),0),"")</f>
        <v>1999</v>
      </c>
    </row>
    <row r="227" spans="1:4" x14ac:dyDescent="0.2">
      <c r="A227" s="319" t="s">
        <v>79</v>
      </c>
      <c r="B227" s="320" t="s">
        <v>16</v>
      </c>
      <c r="C227" s="319" t="s">
        <v>15</v>
      </c>
      <c r="D227" s="321">
        <f>IFERROR(ROUND(AVERAGEIFS('PRECIOS VICTOR'!$D:$D,'PRECIOS VICTOR'!$A:$A,$A227),0),"")</f>
        <v>1456</v>
      </c>
    </row>
    <row r="228" spans="1:4" x14ac:dyDescent="0.2">
      <c r="A228" s="319" t="s">
        <v>201</v>
      </c>
      <c r="B228" s="320" t="s">
        <v>1045</v>
      </c>
      <c r="C228" s="319" t="s">
        <v>111</v>
      </c>
      <c r="D228" s="321">
        <f>IFERROR(ROUND(AVERAGEIFS('PRECIOS VICTOR'!$D:$D,'PRECIOS VICTOR'!$A:$A,$A228),0),"")</f>
        <v>796</v>
      </c>
    </row>
    <row r="229" spans="1:4" x14ac:dyDescent="0.2">
      <c r="A229" s="319" t="s">
        <v>1388</v>
      </c>
      <c r="B229" s="320" t="s">
        <v>1389</v>
      </c>
      <c r="C229" s="319" t="s">
        <v>15</v>
      </c>
      <c r="D229" s="321" t="str">
        <f>IFERROR(ROUND(AVERAGEIFS('PRECIOS VICTOR'!$D:$D,'PRECIOS VICTOR'!$A:$A,$A229),0),"")</f>
        <v/>
      </c>
    </row>
    <row r="230" spans="1:4" x14ac:dyDescent="0.2">
      <c r="A230" s="319" t="s">
        <v>189</v>
      </c>
      <c r="B230" s="320" t="s">
        <v>188</v>
      </c>
      <c r="C230" s="319" t="s">
        <v>111</v>
      </c>
      <c r="D230" s="321">
        <f>IFERROR(ROUND(AVERAGEIFS('PRECIOS VICTOR'!$D:$D,'PRECIOS VICTOR'!$A:$A,$A230),0),"")</f>
        <v>1396</v>
      </c>
    </row>
    <row r="231" spans="1:4" x14ac:dyDescent="0.2">
      <c r="A231" s="319" t="s">
        <v>195</v>
      </c>
      <c r="B231" s="320" t="s">
        <v>194</v>
      </c>
      <c r="C231" s="319" t="s">
        <v>111</v>
      </c>
      <c r="D231" s="321">
        <f>IFERROR(ROUND(AVERAGEIFS('PRECIOS VICTOR'!$D:$D,'PRECIOS VICTOR'!$A:$A,$A231),0),"")</f>
        <v>1226</v>
      </c>
    </row>
    <row r="232" spans="1:4" x14ac:dyDescent="0.2">
      <c r="A232" s="319" t="s">
        <v>731</v>
      </c>
      <c r="B232" s="320" t="s">
        <v>391</v>
      </c>
      <c r="C232" s="319" t="s">
        <v>906</v>
      </c>
      <c r="D232" s="321">
        <f>IFERROR(ROUND(AVERAGEIFS('PRECIOS VICTOR'!$D:$D,'PRECIOS VICTOR'!$A:$A,$A232),0),"")</f>
        <v>790</v>
      </c>
    </row>
    <row r="233" spans="1:4" x14ac:dyDescent="0.2">
      <c r="A233" s="319" t="s">
        <v>664</v>
      </c>
      <c r="B233" s="320" t="s">
        <v>957</v>
      </c>
      <c r="C233" s="319" t="s">
        <v>906</v>
      </c>
      <c r="D233" s="321" t="str">
        <f>IFERROR(ROUND(AVERAGEIFS('PRECIOS VICTOR'!$D:$D,'PRECIOS VICTOR'!$A:$A,$A233),0),"")</f>
        <v/>
      </c>
    </row>
    <row r="234" spans="1:4" x14ac:dyDescent="0.2">
      <c r="A234" s="319" t="s">
        <v>1390</v>
      </c>
      <c r="B234" s="320" t="s">
        <v>1047</v>
      </c>
      <c r="C234" s="319" t="s">
        <v>15</v>
      </c>
      <c r="D234" s="321">
        <f>IFERROR(ROUND(AVERAGEIFS('PRECIOS VICTOR'!$D:$D,'PRECIOS VICTOR'!$A:$A,$A234),0),"")</f>
        <v>6450</v>
      </c>
    </row>
    <row r="235" spans="1:4" x14ac:dyDescent="0.2">
      <c r="A235" s="319" t="s">
        <v>1046</v>
      </c>
      <c r="B235" s="320" t="s">
        <v>1047</v>
      </c>
      <c r="C235" s="319" t="s">
        <v>111</v>
      </c>
      <c r="D235" s="321">
        <f>IFERROR(ROUND(AVERAGEIFS('PRECIOS VICTOR'!$D:$D,'PRECIOS VICTOR'!$A:$A,$A235),0),"")</f>
        <v>303</v>
      </c>
    </row>
    <row r="236" spans="1:4" x14ac:dyDescent="0.2">
      <c r="A236" s="319" t="s">
        <v>1048</v>
      </c>
      <c r="B236" s="320" t="s">
        <v>957</v>
      </c>
      <c r="C236" s="319" t="s">
        <v>111</v>
      </c>
      <c r="D236" s="321" t="str">
        <f>IFERROR(ROUND(AVERAGEIFS('PRECIOS VICTOR'!$D:$D,'PRECIOS VICTOR'!$A:$A,$A236),0),"")</f>
        <v/>
      </c>
    </row>
    <row r="237" spans="1:4" x14ac:dyDescent="0.2">
      <c r="A237" s="319" t="s">
        <v>1049</v>
      </c>
      <c r="B237" s="320" t="s">
        <v>51</v>
      </c>
      <c r="C237" s="319" t="s">
        <v>111</v>
      </c>
      <c r="D237" s="321">
        <f>IFERROR(ROUND(AVERAGEIFS('PRECIOS VICTOR'!$D:$D,'PRECIOS VICTOR'!$A:$A,$A237),0),"")</f>
        <v>1241</v>
      </c>
    </row>
    <row r="238" spans="1:4" x14ac:dyDescent="0.2">
      <c r="A238" s="319" t="s">
        <v>1391</v>
      </c>
      <c r="B238" s="320" t="s">
        <v>1392</v>
      </c>
      <c r="C238" s="319" t="s">
        <v>111</v>
      </c>
      <c r="D238" s="321" t="str">
        <f>IFERROR(ROUND(AVERAGEIFS('PRECIOS VICTOR'!$D:$D,'PRECIOS VICTOR'!$A:$A,$A238),0),"")</f>
        <v/>
      </c>
    </row>
    <row r="239" spans="1:4" x14ac:dyDescent="0.2">
      <c r="A239" s="319" t="s">
        <v>873</v>
      </c>
      <c r="B239" s="320" t="s">
        <v>458</v>
      </c>
      <c r="C239" s="319" t="s">
        <v>15</v>
      </c>
      <c r="D239" s="321" t="str">
        <f>IFERROR(ROUND(AVERAGEIFS('PRECIOS VICTOR'!$D:$D,'PRECIOS VICTOR'!$A:$A,$A239),0),"")</f>
        <v/>
      </c>
    </row>
    <row r="240" spans="1:4" x14ac:dyDescent="0.2">
      <c r="A240" s="319" t="s">
        <v>690</v>
      </c>
      <c r="B240" s="320" t="s">
        <v>440</v>
      </c>
      <c r="C240" s="319" t="s">
        <v>15</v>
      </c>
      <c r="D240" s="321">
        <f>IFERROR(ROUND(AVERAGEIFS('PRECIOS VICTOR'!$D:$D,'PRECIOS VICTOR'!$A:$A,$A240),0),"")</f>
        <v>4500</v>
      </c>
    </row>
    <row r="241" spans="1:4" x14ac:dyDescent="0.2">
      <c r="A241" s="319" t="s">
        <v>772</v>
      </c>
      <c r="B241" s="320" t="s">
        <v>152</v>
      </c>
      <c r="C241" s="319" t="s">
        <v>111</v>
      </c>
      <c r="D241" s="321">
        <f>IFERROR(ROUND(AVERAGEIFS('PRECIOS VICTOR'!$D:$D,'PRECIOS VICTOR'!$A:$A,$A241),0),"")</f>
        <v>266</v>
      </c>
    </row>
    <row r="242" spans="1:4" x14ac:dyDescent="0.2">
      <c r="A242" s="319" t="s">
        <v>1050</v>
      </c>
      <c r="B242" s="320" t="s">
        <v>507</v>
      </c>
      <c r="C242" s="319" t="s">
        <v>15</v>
      </c>
      <c r="D242" s="321">
        <f>IFERROR(ROUND(AVERAGEIFS('PRECIOS VICTOR'!$D:$D,'PRECIOS VICTOR'!$A:$A,$A242),0),"")</f>
        <v>14257</v>
      </c>
    </row>
    <row r="243" spans="1:4" x14ac:dyDescent="0.2">
      <c r="A243" s="319" t="s">
        <v>1393</v>
      </c>
      <c r="B243" s="320" t="s">
        <v>1394</v>
      </c>
      <c r="C243" s="319" t="s">
        <v>906</v>
      </c>
      <c r="D243" s="321" t="str">
        <f>IFERROR(ROUND(AVERAGEIFS('PRECIOS VICTOR'!$D:$D,'PRECIOS VICTOR'!$A:$A,$A243),0),"")</f>
        <v/>
      </c>
    </row>
    <row r="244" spans="1:4" x14ac:dyDescent="0.2">
      <c r="A244" s="319" t="s">
        <v>1395</v>
      </c>
      <c r="B244" s="320" t="s">
        <v>1396</v>
      </c>
      <c r="C244" s="319" t="s">
        <v>942</v>
      </c>
      <c r="D244" s="321" t="str">
        <f>IFERROR(ROUND(AVERAGEIFS('PRECIOS VICTOR'!$D:$D,'PRECIOS VICTOR'!$A:$A,$A244),0),"")</f>
        <v/>
      </c>
    </row>
    <row r="245" spans="1:4" x14ac:dyDescent="0.2">
      <c r="A245" s="319" t="s">
        <v>1397</v>
      </c>
      <c r="B245" s="320" t="s">
        <v>446</v>
      </c>
      <c r="C245" s="319" t="s">
        <v>981</v>
      </c>
      <c r="D245" s="321" t="str">
        <f>IFERROR(ROUND(AVERAGEIFS('PRECIOS VICTOR'!$D:$D,'PRECIOS VICTOR'!$A:$A,$A245),0),"")</f>
        <v/>
      </c>
    </row>
    <row r="246" spans="1:4" x14ac:dyDescent="0.2">
      <c r="A246" s="319" t="s">
        <v>729</v>
      </c>
      <c r="B246" s="320" t="s">
        <v>1051</v>
      </c>
      <c r="C246" s="319" t="s">
        <v>15</v>
      </c>
      <c r="D246" s="321">
        <f>IFERROR(ROUND(AVERAGEIFS('PRECIOS VICTOR'!$D:$D,'PRECIOS VICTOR'!$A:$A,$A246),0),"")</f>
        <v>5773</v>
      </c>
    </row>
    <row r="247" spans="1:4" x14ac:dyDescent="0.2">
      <c r="A247" s="319" t="s">
        <v>1398</v>
      </c>
      <c r="B247" s="320" t="s">
        <v>1399</v>
      </c>
      <c r="C247" s="319" t="s">
        <v>15</v>
      </c>
      <c r="D247" s="321" t="str">
        <f>IFERROR(ROUND(AVERAGEIFS('PRECIOS VICTOR'!$D:$D,'PRECIOS VICTOR'!$A:$A,$A247),0),"")</f>
        <v/>
      </c>
    </row>
    <row r="248" spans="1:4" x14ac:dyDescent="0.2">
      <c r="A248" s="319" t="s">
        <v>808</v>
      </c>
      <c r="B248" s="320" t="s">
        <v>1052</v>
      </c>
      <c r="C248" s="319" t="s">
        <v>15</v>
      </c>
      <c r="D248" s="321">
        <f>IFERROR(ROUND(AVERAGEIFS('PRECIOS VICTOR'!$D:$D,'PRECIOS VICTOR'!$A:$A,$A248),0),"")</f>
        <v>2397</v>
      </c>
    </row>
    <row r="249" spans="1:4" x14ac:dyDescent="0.2">
      <c r="A249" s="319" t="s">
        <v>1053</v>
      </c>
      <c r="B249" s="320" t="s">
        <v>1054</v>
      </c>
      <c r="C249" s="319" t="s">
        <v>15</v>
      </c>
      <c r="D249" s="321" t="str">
        <f>IFERROR(ROUND(AVERAGEIFS('PRECIOS VICTOR'!$D:$D,'PRECIOS VICTOR'!$A:$A,$A249),0),"")</f>
        <v/>
      </c>
    </row>
    <row r="250" spans="1:4" x14ac:dyDescent="0.2">
      <c r="A250" s="319" t="s">
        <v>836</v>
      </c>
      <c r="B250" s="320" t="s">
        <v>624</v>
      </c>
      <c r="C250" s="319" t="s">
        <v>15</v>
      </c>
      <c r="D250" s="321">
        <f>IFERROR(ROUND(AVERAGEIFS('PRECIOS VICTOR'!$D:$D,'PRECIOS VICTOR'!$A:$A,$A250),0),"")</f>
        <v>2964</v>
      </c>
    </row>
    <row r="251" spans="1:4" x14ac:dyDescent="0.2">
      <c r="A251" s="319" t="s">
        <v>727</v>
      </c>
      <c r="B251" s="320" t="s">
        <v>33</v>
      </c>
      <c r="C251" s="319" t="s">
        <v>942</v>
      </c>
      <c r="D251" s="321">
        <f>IFERROR(ROUND(AVERAGEIFS('PRECIOS VICTOR'!$D:$D,'PRECIOS VICTOR'!$A:$A,$A251),0),"")</f>
        <v>2345</v>
      </c>
    </row>
    <row r="252" spans="1:4" x14ac:dyDescent="0.2">
      <c r="A252" s="319" t="s">
        <v>672</v>
      </c>
      <c r="B252" s="320" t="s">
        <v>1055</v>
      </c>
      <c r="C252" s="319" t="s">
        <v>15</v>
      </c>
      <c r="D252" s="321">
        <f>IFERROR(ROUND(AVERAGEIFS('PRECIOS VICTOR'!$D:$D,'PRECIOS VICTOR'!$A:$A,$A252),0),"")</f>
        <v>3041</v>
      </c>
    </row>
    <row r="253" spans="1:4" x14ac:dyDescent="0.2">
      <c r="A253" s="319" t="s">
        <v>673</v>
      </c>
      <c r="B253" s="320" t="s">
        <v>395</v>
      </c>
      <c r="C253" s="319" t="s">
        <v>15</v>
      </c>
      <c r="D253" s="321">
        <f>IFERROR(ROUND(AVERAGEIFS('PRECIOS VICTOR'!$D:$D,'PRECIOS VICTOR'!$A:$A,$A253),0),"")</f>
        <v>3000</v>
      </c>
    </row>
    <row r="254" spans="1:4" x14ac:dyDescent="0.2">
      <c r="A254" s="319" t="s">
        <v>692</v>
      </c>
      <c r="B254" s="320" t="s">
        <v>492</v>
      </c>
      <c r="C254" s="319" t="s">
        <v>947</v>
      </c>
      <c r="D254" s="321" t="str">
        <f>IFERROR(ROUND(AVERAGEIFS('PRECIOS VICTOR'!$D:$D,'PRECIOS VICTOR'!$A:$A,$A254),0),"")</f>
        <v/>
      </c>
    </row>
    <row r="255" spans="1:4" x14ac:dyDescent="0.2">
      <c r="A255" s="319" t="s">
        <v>797</v>
      </c>
      <c r="B255" s="320" t="s">
        <v>265</v>
      </c>
      <c r="C255" s="319" t="s">
        <v>15</v>
      </c>
      <c r="D255" s="321">
        <f>IFERROR(ROUND(AVERAGEIFS('PRECIOS VICTOR'!$D:$D,'PRECIOS VICTOR'!$A:$A,$A255),0),"")</f>
        <v>3470</v>
      </c>
    </row>
    <row r="256" spans="1:4" x14ac:dyDescent="0.2">
      <c r="A256" s="319" t="s">
        <v>868</v>
      </c>
      <c r="B256" s="320" t="s">
        <v>1400</v>
      </c>
      <c r="C256" s="319" t="s">
        <v>15</v>
      </c>
      <c r="D256" s="321">
        <f>IFERROR(ROUND(AVERAGEIFS('PRECIOS VICTOR'!$D:$D,'PRECIOS VICTOR'!$A:$A,$A256),0),"")</f>
        <v>4641</v>
      </c>
    </row>
    <row r="257" spans="1:4" x14ac:dyDescent="0.2">
      <c r="A257" s="319" t="s">
        <v>837</v>
      </c>
      <c r="B257" s="320" t="s">
        <v>493</v>
      </c>
      <c r="C257" s="319" t="s">
        <v>15</v>
      </c>
      <c r="D257" s="321">
        <f>IFERROR(ROUND(AVERAGEIFS('PRECIOS VICTOR'!$D:$D,'PRECIOS VICTOR'!$A:$A,$A257),0),"")</f>
        <v>3885</v>
      </c>
    </row>
    <row r="258" spans="1:4" x14ac:dyDescent="0.2">
      <c r="A258" s="319" t="s">
        <v>1401</v>
      </c>
      <c r="B258" s="320" t="s">
        <v>1402</v>
      </c>
      <c r="C258" s="319" t="s">
        <v>906</v>
      </c>
      <c r="D258" s="321" t="str">
        <f>IFERROR(ROUND(AVERAGEIFS('PRECIOS VICTOR'!$D:$D,'PRECIOS VICTOR'!$A:$A,$A258),0),"")</f>
        <v/>
      </c>
    </row>
    <row r="259" spans="1:4" x14ac:dyDescent="0.2">
      <c r="A259" s="319" t="s">
        <v>656</v>
      </c>
      <c r="B259" s="320" t="s">
        <v>502</v>
      </c>
      <c r="C259" s="319" t="s">
        <v>15</v>
      </c>
      <c r="D259" s="321">
        <f>IFERROR(ROUND(AVERAGEIFS('PRECIOS VICTOR'!$D:$D,'PRECIOS VICTOR'!$A:$A,$A259),0),"")</f>
        <v>971</v>
      </c>
    </row>
    <row r="260" spans="1:4" x14ac:dyDescent="0.2">
      <c r="A260" s="319" t="s">
        <v>681</v>
      </c>
      <c r="B260" s="320" t="s">
        <v>1056</v>
      </c>
      <c r="C260" s="319" t="s">
        <v>15</v>
      </c>
      <c r="D260" s="321">
        <f>IFERROR(ROUND(AVERAGEIFS('PRECIOS VICTOR'!$D:$D,'PRECIOS VICTOR'!$A:$A,$A260),0),"")</f>
        <v>1316</v>
      </c>
    </row>
    <row r="261" spans="1:4" x14ac:dyDescent="0.2">
      <c r="A261" s="319" t="s">
        <v>1057</v>
      </c>
      <c r="B261" s="320" t="s">
        <v>1058</v>
      </c>
      <c r="C261" s="319" t="s">
        <v>15</v>
      </c>
      <c r="D261" s="321">
        <f>IFERROR(ROUND(AVERAGEIFS('PRECIOS VICTOR'!$D:$D,'PRECIOS VICTOR'!$A:$A,$A261),0),"")</f>
        <v>1998</v>
      </c>
    </row>
    <row r="262" spans="1:4" x14ac:dyDescent="0.2">
      <c r="A262" s="319" t="s">
        <v>1403</v>
      </c>
      <c r="B262" s="320" t="s">
        <v>1404</v>
      </c>
      <c r="C262" s="319" t="s">
        <v>15</v>
      </c>
      <c r="D262" s="321">
        <f>IFERROR(ROUND(AVERAGEIFS('PRECIOS VICTOR'!$D:$D,'PRECIOS VICTOR'!$A:$A,$A262),0),"")</f>
        <v>1690</v>
      </c>
    </row>
    <row r="263" spans="1:4" x14ac:dyDescent="0.2">
      <c r="A263" s="319" t="s">
        <v>1405</v>
      </c>
      <c r="B263" s="320" t="s">
        <v>1406</v>
      </c>
      <c r="C263" s="319" t="s">
        <v>15</v>
      </c>
      <c r="D263" s="321">
        <f>IFERROR(ROUND(AVERAGEIFS('PRECIOS VICTOR'!$D:$D,'PRECIOS VICTOR'!$A:$A,$A263),0),"")</f>
        <v>4046</v>
      </c>
    </row>
    <row r="264" spans="1:4" x14ac:dyDescent="0.2">
      <c r="A264" s="319" t="s">
        <v>1059</v>
      </c>
      <c r="B264" s="320" t="s">
        <v>1060</v>
      </c>
      <c r="C264" s="319" t="s">
        <v>15</v>
      </c>
      <c r="D264" s="321">
        <f>IFERROR(ROUND(AVERAGEIFS('PRECIOS VICTOR'!$D:$D,'PRECIOS VICTOR'!$A:$A,$A264),0),"")</f>
        <v>1290</v>
      </c>
    </row>
    <row r="265" spans="1:4" x14ac:dyDescent="0.2">
      <c r="A265" s="319" t="s">
        <v>1407</v>
      </c>
      <c r="B265" s="320" t="s">
        <v>1408</v>
      </c>
      <c r="C265" s="319" t="s">
        <v>15</v>
      </c>
      <c r="D265" s="321" t="str">
        <f>IFERROR(ROUND(AVERAGEIFS('PRECIOS VICTOR'!$D:$D,'PRECIOS VICTOR'!$A:$A,$A265),0),"")</f>
        <v/>
      </c>
    </row>
    <row r="266" spans="1:4" x14ac:dyDescent="0.2">
      <c r="A266" s="319" t="s">
        <v>1409</v>
      </c>
      <c r="B266" s="320" t="s">
        <v>1410</v>
      </c>
      <c r="C266" s="319" t="s">
        <v>15</v>
      </c>
      <c r="D266" s="321" t="str">
        <f>IFERROR(ROUND(AVERAGEIFS('PRECIOS VICTOR'!$D:$D,'PRECIOS VICTOR'!$A:$A,$A266),0),"")</f>
        <v/>
      </c>
    </row>
    <row r="267" spans="1:4" x14ac:dyDescent="0.2">
      <c r="A267" s="319" t="s">
        <v>841</v>
      </c>
      <c r="B267" s="320" t="s">
        <v>1061</v>
      </c>
      <c r="C267" s="319" t="s">
        <v>15</v>
      </c>
      <c r="D267" s="321">
        <f>IFERROR(ROUND(AVERAGEIFS('PRECIOS VICTOR'!$D:$D,'PRECIOS VICTOR'!$A:$A,$A267),0),"")</f>
        <v>1534</v>
      </c>
    </row>
    <row r="268" spans="1:4" x14ac:dyDescent="0.2">
      <c r="A268" s="319" t="s">
        <v>1062</v>
      </c>
      <c r="B268" s="320" t="s">
        <v>1063</v>
      </c>
      <c r="C268" s="319" t="s">
        <v>15</v>
      </c>
      <c r="D268" s="321">
        <f>IFERROR(ROUND(AVERAGEIFS('PRECIOS VICTOR'!$D:$D,'PRECIOS VICTOR'!$A:$A,$A268),0),"")</f>
        <v>4291</v>
      </c>
    </row>
    <row r="269" spans="1:4" x14ac:dyDescent="0.2">
      <c r="A269" s="319" t="s">
        <v>1064</v>
      </c>
      <c r="B269" s="320" t="s">
        <v>1065</v>
      </c>
      <c r="C269" s="319" t="s">
        <v>15</v>
      </c>
      <c r="D269" s="321">
        <f>IFERROR(ROUND(AVERAGEIFS('PRECIOS VICTOR'!$D:$D,'PRECIOS VICTOR'!$A:$A,$A269),0),"")</f>
        <v>1825</v>
      </c>
    </row>
    <row r="270" spans="1:4" x14ac:dyDescent="0.2">
      <c r="A270" s="319" t="s">
        <v>887</v>
      </c>
      <c r="B270" s="320" t="s">
        <v>1066</v>
      </c>
      <c r="C270" s="319" t="s">
        <v>15</v>
      </c>
      <c r="D270" s="321">
        <f>IFERROR(ROUND(AVERAGEIFS('PRECIOS VICTOR'!$D:$D,'PRECIOS VICTOR'!$A:$A,$A270),0),"")</f>
        <v>1157</v>
      </c>
    </row>
    <row r="271" spans="1:4" x14ac:dyDescent="0.2">
      <c r="A271" s="319" t="s">
        <v>1067</v>
      </c>
      <c r="B271" s="320" t="s">
        <v>188</v>
      </c>
      <c r="C271" s="319" t="s">
        <v>15</v>
      </c>
      <c r="D271" s="321" t="str">
        <f>IFERROR(ROUND(AVERAGEIFS('PRECIOS VICTOR'!$D:$D,'PRECIOS VICTOR'!$A:$A,$A271),0),"")</f>
        <v/>
      </c>
    </row>
    <row r="272" spans="1:4" x14ac:dyDescent="0.2">
      <c r="A272" s="319" t="s">
        <v>1411</v>
      </c>
      <c r="B272" s="320" t="s">
        <v>194</v>
      </c>
      <c r="C272" s="319" t="s">
        <v>15</v>
      </c>
      <c r="D272" s="321">
        <f>IFERROR(ROUND(AVERAGEIFS('PRECIOS VICTOR'!$D:$D,'PRECIOS VICTOR'!$A:$A,$A272),0),"")</f>
        <v>2026</v>
      </c>
    </row>
    <row r="273" spans="1:4" x14ac:dyDescent="0.2">
      <c r="A273" s="319" t="s">
        <v>666</v>
      </c>
      <c r="B273" s="320" t="s">
        <v>1068</v>
      </c>
      <c r="C273" s="319" t="s">
        <v>15</v>
      </c>
      <c r="D273" s="321">
        <f>IFERROR(ROUND(AVERAGEIFS('PRECIOS VICTOR'!$D:$D,'PRECIOS VICTOR'!$A:$A,$A273),0),"")</f>
        <v>2390</v>
      </c>
    </row>
    <row r="274" spans="1:4" x14ac:dyDescent="0.2">
      <c r="A274" s="319" t="s">
        <v>1069</v>
      </c>
      <c r="B274" s="320" t="s">
        <v>182</v>
      </c>
      <c r="C274" s="319" t="s">
        <v>906</v>
      </c>
      <c r="D274" s="321">
        <f>IFERROR(ROUND(AVERAGEIFS('PRECIOS VICTOR'!$D:$D,'PRECIOS VICTOR'!$A:$A,$A274),0),"")</f>
        <v>979</v>
      </c>
    </row>
    <row r="275" spans="1:4" x14ac:dyDescent="0.2">
      <c r="A275" s="319" t="s">
        <v>667</v>
      </c>
      <c r="B275" s="320" t="s">
        <v>1068</v>
      </c>
      <c r="C275" s="319" t="s">
        <v>906</v>
      </c>
      <c r="D275" s="321">
        <f>IFERROR(ROUND(AVERAGEIFS('PRECIOS VICTOR'!$D:$D,'PRECIOS VICTOR'!$A:$A,$A275),0),"")</f>
        <v>2263</v>
      </c>
    </row>
    <row r="276" spans="1:4" x14ac:dyDescent="0.2">
      <c r="A276" s="319" t="s">
        <v>1412</v>
      </c>
      <c r="B276" s="320" t="s">
        <v>1413</v>
      </c>
      <c r="C276" s="319" t="s">
        <v>906</v>
      </c>
      <c r="D276" s="321">
        <f>IFERROR(ROUND(AVERAGEIFS('PRECIOS VICTOR'!$D:$D,'PRECIOS VICTOR'!$A:$A,$A276),0),"")</f>
        <v>9451</v>
      </c>
    </row>
    <row r="277" spans="1:4" x14ac:dyDescent="0.2">
      <c r="A277" s="319" t="s">
        <v>1414</v>
      </c>
      <c r="B277" s="320" t="s">
        <v>1415</v>
      </c>
      <c r="C277" s="319" t="s">
        <v>906</v>
      </c>
      <c r="D277" s="321">
        <f>IFERROR(ROUND(AVERAGEIFS('PRECIOS VICTOR'!$D:$D,'PRECIOS VICTOR'!$A:$A,$A277),0),"")</f>
        <v>1979</v>
      </c>
    </row>
    <row r="278" spans="1:4" x14ac:dyDescent="0.2">
      <c r="A278" s="319" t="s">
        <v>723</v>
      </c>
      <c r="B278" s="320" t="s">
        <v>532</v>
      </c>
      <c r="C278" s="319" t="s">
        <v>15</v>
      </c>
      <c r="D278" s="321" t="str">
        <f>IFERROR(ROUND(AVERAGEIFS('PRECIOS VICTOR'!$D:$D,'PRECIOS VICTOR'!$A:$A,$A278),0),"")</f>
        <v/>
      </c>
    </row>
    <row r="279" spans="1:4" x14ac:dyDescent="0.2">
      <c r="A279" s="319" t="s">
        <v>1070</v>
      </c>
      <c r="B279" s="320" t="s">
        <v>1071</v>
      </c>
      <c r="C279" s="319" t="s">
        <v>906</v>
      </c>
      <c r="D279" s="321">
        <f>IFERROR(ROUND(AVERAGEIFS('PRECIOS VICTOR'!$D:$D,'PRECIOS VICTOR'!$A:$A,$A279),0),"")</f>
        <v>1466</v>
      </c>
    </row>
    <row r="280" spans="1:4" x14ac:dyDescent="0.2">
      <c r="A280" s="319" t="s">
        <v>1416</v>
      </c>
      <c r="B280" s="320" t="s">
        <v>381</v>
      </c>
      <c r="C280" s="319" t="s">
        <v>906</v>
      </c>
      <c r="D280" s="321">
        <f>IFERROR(ROUND(AVERAGEIFS('PRECIOS VICTOR'!$D:$D,'PRECIOS VICTOR'!$A:$A,$A280),0),"")</f>
        <v>1500</v>
      </c>
    </row>
    <row r="281" spans="1:4" x14ac:dyDescent="0.2">
      <c r="A281" s="319" t="s">
        <v>853</v>
      </c>
      <c r="B281" s="320" t="s">
        <v>592</v>
      </c>
      <c r="C281" s="319" t="s">
        <v>906</v>
      </c>
      <c r="D281" s="321" t="str">
        <f>IFERROR(ROUND(AVERAGEIFS('PRECIOS VICTOR'!$D:$D,'PRECIOS VICTOR'!$A:$A,$A281),0),"")</f>
        <v/>
      </c>
    </row>
    <row r="282" spans="1:4" x14ac:dyDescent="0.2">
      <c r="A282" s="319" t="s">
        <v>1417</v>
      </c>
      <c r="B282" s="320" t="s">
        <v>989</v>
      </c>
      <c r="C282" s="319" t="s">
        <v>906</v>
      </c>
      <c r="D282" s="321" t="str">
        <f>IFERROR(ROUND(AVERAGEIFS('PRECIOS VICTOR'!$D:$D,'PRECIOS VICTOR'!$A:$A,$A282),0),"")</f>
        <v/>
      </c>
    </row>
    <row r="283" spans="1:4" x14ac:dyDescent="0.2">
      <c r="A283" s="319" t="s">
        <v>1418</v>
      </c>
      <c r="B283" s="320" t="s">
        <v>327</v>
      </c>
      <c r="C283" s="319" t="s">
        <v>1007</v>
      </c>
      <c r="D283" s="321" t="str">
        <f>IFERROR(ROUND(AVERAGEIFS('PRECIOS VICTOR'!$D:$D,'PRECIOS VICTOR'!$A:$A,$A283),0),"")</f>
        <v/>
      </c>
    </row>
    <row r="284" spans="1:4" x14ac:dyDescent="0.2">
      <c r="A284" s="319" t="s">
        <v>1072</v>
      </c>
      <c r="B284" s="320" t="s">
        <v>1073</v>
      </c>
      <c r="C284" s="319" t="s">
        <v>15</v>
      </c>
      <c r="D284" s="321" t="str">
        <f>IFERROR(ROUND(AVERAGEIFS('PRECIOS VICTOR'!$D:$D,'PRECIOS VICTOR'!$A:$A,$A284),0),"")</f>
        <v/>
      </c>
    </row>
    <row r="285" spans="1:4" x14ac:dyDescent="0.2">
      <c r="A285" s="319" t="s">
        <v>1419</v>
      </c>
      <c r="B285" s="320" t="s">
        <v>1420</v>
      </c>
      <c r="C285" s="319" t="s">
        <v>111</v>
      </c>
      <c r="D285" s="321">
        <f>IFERROR(ROUND(AVERAGEIFS('PRECIOS VICTOR'!$D:$D,'PRECIOS VICTOR'!$A:$A,$A285),0),"")</f>
        <v>1130</v>
      </c>
    </row>
    <row r="286" spans="1:4" x14ac:dyDescent="0.2">
      <c r="A286" s="319" t="s">
        <v>760</v>
      </c>
      <c r="B286" s="320" t="s">
        <v>549</v>
      </c>
      <c r="C286" s="319" t="s">
        <v>111</v>
      </c>
      <c r="D286" s="321">
        <f>IFERROR(ROUND(AVERAGEIFS('PRECIOS VICTOR'!$D:$D,'PRECIOS VICTOR'!$A:$A,$A286),0),"")</f>
        <v>888</v>
      </c>
    </row>
    <row r="287" spans="1:4" x14ac:dyDescent="0.2">
      <c r="A287" s="319" t="s">
        <v>1421</v>
      </c>
      <c r="B287" s="320" t="s">
        <v>1422</v>
      </c>
      <c r="C287" s="319" t="s">
        <v>1007</v>
      </c>
      <c r="D287" s="321" t="str">
        <f>IFERROR(ROUND(AVERAGEIFS('PRECIOS VICTOR'!$D:$D,'PRECIOS VICTOR'!$A:$A,$A287),0),"")</f>
        <v/>
      </c>
    </row>
    <row r="288" spans="1:4" x14ac:dyDescent="0.2">
      <c r="A288" s="319" t="s">
        <v>1423</v>
      </c>
      <c r="B288" s="320" t="s">
        <v>479</v>
      </c>
      <c r="C288" s="319" t="s">
        <v>956</v>
      </c>
      <c r="D288" s="321" t="str">
        <f>IFERROR(ROUND(AVERAGEIFS('PRECIOS VICTOR'!$D:$D,'PRECIOS VICTOR'!$A:$A,$A288),0),"")</f>
        <v/>
      </c>
    </row>
    <row r="289" spans="1:4" x14ac:dyDescent="0.2">
      <c r="A289" s="319" t="s">
        <v>849</v>
      </c>
      <c r="B289" s="320" t="s">
        <v>441</v>
      </c>
      <c r="C289" s="319" t="s">
        <v>15</v>
      </c>
      <c r="D289" s="321">
        <f>IFERROR(ROUND(AVERAGEIFS('PRECIOS VICTOR'!$D:$D,'PRECIOS VICTOR'!$A:$A,$A289),0),"")</f>
        <v>6162</v>
      </c>
    </row>
    <row r="290" spans="1:4" x14ac:dyDescent="0.2">
      <c r="A290" s="319" t="s">
        <v>831</v>
      </c>
      <c r="B290" s="320" t="s">
        <v>442</v>
      </c>
      <c r="C290" s="319" t="s">
        <v>15</v>
      </c>
      <c r="D290" s="321">
        <f>IFERROR(ROUND(AVERAGEIFS('PRECIOS VICTOR'!$D:$D,'PRECIOS VICTOR'!$A:$A,$A290),0),"")</f>
        <v>1869</v>
      </c>
    </row>
    <row r="291" spans="1:4" x14ac:dyDescent="0.2">
      <c r="A291" s="319" t="s">
        <v>1075</v>
      </c>
      <c r="B291" s="320" t="s">
        <v>1076</v>
      </c>
      <c r="C291" s="319" t="s">
        <v>906</v>
      </c>
      <c r="D291" s="321" t="str">
        <f>IFERROR(ROUND(AVERAGEIFS('PRECIOS VICTOR'!$D:$D,'PRECIOS VICTOR'!$A:$A,$A291),0),"")</f>
        <v/>
      </c>
    </row>
    <row r="292" spans="1:4" x14ac:dyDescent="0.2">
      <c r="A292" s="319" t="s">
        <v>1077</v>
      </c>
      <c r="B292" s="320" t="s">
        <v>1078</v>
      </c>
      <c r="C292" s="319" t="s">
        <v>947</v>
      </c>
      <c r="D292" s="321">
        <f>IFERROR(ROUND(AVERAGEIFS('PRECIOS VICTOR'!$D:$D,'PRECIOS VICTOR'!$A:$A,$A292),0),"")</f>
        <v>10000</v>
      </c>
    </row>
    <row r="293" spans="1:4" x14ac:dyDescent="0.2">
      <c r="A293" s="319" t="s">
        <v>1424</v>
      </c>
      <c r="B293" s="320" t="s">
        <v>1425</v>
      </c>
      <c r="C293" s="319" t="s">
        <v>906</v>
      </c>
      <c r="D293" s="321">
        <f>IFERROR(ROUND(AVERAGEIFS('PRECIOS VICTOR'!$D:$D,'PRECIOS VICTOR'!$A:$A,$A293),0),"")</f>
        <v>2330</v>
      </c>
    </row>
    <row r="294" spans="1:4" x14ac:dyDescent="0.2">
      <c r="A294" s="319" t="s">
        <v>698</v>
      </c>
      <c r="B294" s="320" t="s">
        <v>695</v>
      </c>
      <c r="C294" s="319" t="s">
        <v>906</v>
      </c>
      <c r="D294" s="321" t="str">
        <f>IFERROR(ROUND(AVERAGEIFS('PRECIOS VICTOR'!$D:$D,'PRECIOS VICTOR'!$A:$A,$A294),0),"")</f>
        <v/>
      </c>
    </row>
    <row r="295" spans="1:4" x14ac:dyDescent="0.2">
      <c r="A295" s="319" t="s">
        <v>1079</v>
      </c>
      <c r="B295" s="320" t="s">
        <v>984</v>
      </c>
      <c r="C295" s="319" t="s">
        <v>15</v>
      </c>
      <c r="D295" s="321">
        <f>IFERROR(ROUND(AVERAGEIFS('PRECIOS VICTOR'!$D:$D,'PRECIOS VICTOR'!$A:$A,$A295),0),"")</f>
        <v>2499</v>
      </c>
    </row>
    <row r="296" spans="1:4" x14ac:dyDescent="0.2">
      <c r="A296" s="319" t="s">
        <v>1080</v>
      </c>
      <c r="B296" s="320" t="s">
        <v>1081</v>
      </c>
      <c r="C296" s="319" t="s">
        <v>111</v>
      </c>
      <c r="D296" s="321" t="str">
        <f>IFERROR(ROUND(AVERAGEIFS('PRECIOS VICTOR'!$D:$D,'PRECIOS VICTOR'!$A:$A,$A296),0),"")</f>
        <v/>
      </c>
    </row>
    <row r="297" spans="1:4" x14ac:dyDescent="0.2">
      <c r="A297" s="319" t="s">
        <v>1082</v>
      </c>
      <c r="B297" s="320" t="s">
        <v>1083</v>
      </c>
      <c r="C297" s="319" t="s">
        <v>1007</v>
      </c>
      <c r="D297" s="321">
        <f>IFERROR(ROUND(AVERAGEIFS('PRECIOS VICTOR'!$D:$D,'PRECIOS VICTOR'!$A:$A,$A297),0),"")</f>
        <v>233</v>
      </c>
    </row>
    <row r="298" spans="1:4" x14ac:dyDescent="0.2">
      <c r="A298" s="319" t="s">
        <v>1084</v>
      </c>
      <c r="B298" s="320" t="s">
        <v>123</v>
      </c>
      <c r="C298" s="319" t="s">
        <v>1007</v>
      </c>
      <c r="D298" s="321">
        <f>IFERROR(ROUND(AVERAGEIFS('PRECIOS VICTOR'!$D:$D,'PRECIOS VICTOR'!$A:$A,$A298),0),"")</f>
        <v>4687</v>
      </c>
    </row>
    <row r="299" spans="1:4" x14ac:dyDescent="0.2">
      <c r="A299" s="319" t="s">
        <v>1426</v>
      </c>
      <c r="B299" s="320" t="s">
        <v>1427</v>
      </c>
      <c r="C299" s="319" t="s">
        <v>15</v>
      </c>
      <c r="D299" s="321" t="str">
        <f>IFERROR(ROUND(AVERAGEIFS('PRECIOS VICTOR'!$D:$D,'PRECIOS VICTOR'!$A:$A,$A299),0),"")</f>
        <v/>
      </c>
    </row>
    <row r="300" spans="1:4" x14ac:dyDescent="0.2">
      <c r="A300" s="319" t="s">
        <v>1428</v>
      </c>
      <c r="B300" s="320" t="s">
        <v>329</v>
      </c>
      <c r="C300" s="319" t="s">
        <v>15</v>
      </c>
      <c r="D300" s="321" t="str">
        <f>IFERROR(ROUND(AVERAGEIFS('PRECIOS VICTOR'!$D:$D,'PRECIOS VICTOR'!$A:$A,$A300),0),"")</f>
        <v/>
      </c>
    </row>
    <row r="301" spans="1:4" x14ac:dyDescent="0.2">
      <c r="A301" s="319" t="s">
        <v>722</v>
      </c>
      <c r="B301" s="320" t="s">
        <v>1429</v>
      </c>
      <c r="C301" s="319" t="s">
        <v>15</v>
      </c>
      <c r="D301" s="321" t="str">
        <f>IFERROR(ROUND(AVERAGEIFS('PRECIOS VICTOR'!$D:$D,'PRECIOS VICTOR'!$A:$A,$A301),0),"")</f>
        <v/>
      </c>
    </row>
    <row r="302" spans="1:4" x14ac:dyDescent="0.2">
      <c r="A302" s="319" t="s">
        <v>720</v>
      </c>
      <c r="B302" s="320" t="s">
        <v>1430</v>
      </c>
      <c r="C302" s="319" t="s">
        <v>15</v>
      </c>
      <c r="D302" s="321" t="str">
        <f>IFERROR(ROUND(AVERAGEIFS('PRECIOS VICTOR'!$D:$D,'PRECIOS VICTOR'!$A:$A,$A302),0),"")</f>
        <v/>
      </c>
    </row>
    <row r="303" spans="1:4" x14ac:dyDescent="0.2">
      <c r="A303" s="319" t="s">
        <v>1431</v>
      </c>
      <c r="B303" s="320" t="s">
        <v>1432</v>
      </c>
      <c r="C303" s="319" t="s">
        <v>15</v>
      </c>
      <c r="D303" s="321">
        <f>IFERROR(ROUND(AVERAGEIFS('PRECIOS VICTOR'!$D:$D,'PRECIOS VICTOR'!$A:$A,$A303),0),"")</f>
        <v>35900</v>
      </c>
    </row>
    <row r="304" spans="1:4" x14ac:dyDescent="0.2">
      <c r="A304" s="319" t="s">
        <v>838</v>
      </c>
      <c r="B304" s="320" t="s">
        <v>582</v>
      </c>
      <c r="C304" s="319" t="s">
        <v>111</v>
      </c>
      <c r="D304" s="321">
        <f>IFERROR(ROUND(AVERAGEIFS('PRECIOS VICTOR'!$D:$D,'PRECIOS VICTOR'!$A:$A,$A304),0),"")</f>
        <v>856</v>
      </c>
    </row>
    <row r="305" spans="1:4" x14ac:dyDescent="0.2">
      <c r="A305" s="319" t="s">
        <v>1433</v>
      </c>
      <c r="B305" s="320" t="s">
        <v>1434</v>
      </c>
      <c r="C305" s="319" t="s">
        <v>15</v>
      </c>
      <c r="D305" s="321" t="str">
        <f>IFERROR(ROUND(AVERAGEIFS('PRECIOS VICTOR'!$D:$D,'PRECIOS VICTOR'!$A:$A,$A305),0),"")</f>
        <v/>
      </c>
    </row>
    <row r="306" spans="1:4" x14ac:dyDescent="0.2">
      <c r="A306" s="319" t="s">
        <v>165</v>
      </c>
      <c r="B306" s="320" t="s">
        <v>164</v>
      </c>
      <c r="C306" s="319" t="s">
        <v>947</v>
      </c>
      <c r="D306" s="321">
        <f>IFERROR(ROUND(AVERAGEIFS('PRECIOS VICTOR'!$D:$D,'PRECIOS VICTOR'!$A:$A,$A306),0),"")</f>
        <v>2120</v>
      </c>
    </row>
    <row r="307" spans="1:4" x14ac:dyDescent="0.2">
      <c r="A307" s="319" t="s">
        <v>1435</v>
      </c>
      <c r="B307" s="320" t="s">
        <v>1436</v>
      </c>
      <c r="C307" s="319" t="s">
        <v>956</v>
      </c>
      <c r="D307" s="321" t="str">
        <f>IFERROR(ROUND(AVERAGEIFS('PRECIOS VICTOR'!$D:$D,'PRECIOS VICTOR'!$A:$A,$A307),0),"")</f>
        <v/>
      </c>
    </row>
    <row r="308" spans="1:4" x14ac:dyDescent="0.2">
      <c r="A308" s="319" t="s">
        <v>816</v>
      </c>
      <c r="B308" s="320" t="s">
        <v>233</v>
      </c>
      <c r="C308" s="319" t="s">
        <v>15</v>
      </c>
      <c r="D308" s="321" t="str">
        <f>IFERROR(ROUND(AVERAGEIFS('PRECIOS VICTOR'!$D:$D,'PRECIOS VICTOR'!$A:$A,$A308),0),"")</f>
        <v/>
      </c>
    </row>
    <row r="309" spans="1:4" x14ac:dyDescent="0.2">
      <c r="A309" s="319" t="s">
        <v>1437</v>
      </c>
      <c r="B309" s="320" t="s">
        <v>1438</v>
      </c>
      <c r="C309" s="319" t="s">
        <v>981</v>
      </c>
      <c r="D309" s="321" t="str">
        <f>IFERROR(ROUND(AVERAGEIFS('PRECIOS VICTOR'!$D:$D,'PRECIOS VICTOR'!$A:$A,$A309),0),"")</f>
        <v/>
      </c>
    </row>
    <row r="310" spans="1:4" x14ac:dyDescent="0.2">
      <c r="A310" s="319" t="s">
        <v>1085</v>
      </c>
      <c r="B310" s="320" t="s">
        <v>1086</v>
      </c>
      <c r="C310" s="319" t="s">
        <v>111</v>
      </c>
      <c r="D310" s="321">
        <f>IFERROR(ROUND(AVERAGEIFS('PRECIOS VICTOR'!$D:$D,'PRECIOS VICTOR'!$A:$A,$A310),0),"")</f>
        <v>1961</v>
      </c>
    </row>
    <row r="311" spans="1:4" x14ac:dyDescent="0.2">
      <c r="A311" s="319" t="s">
        <v>832</v>
      </c>
      <c r="B311" s="320" t="s">
        <v>494</v>
      </c>
      <c r="C311" s="319" t="s">
        <v>111</v>
      </c>
      <c r="D311" s="321" t="str">
        <f>IFERROR(ROUND(AVERAGEIFS('PRECIOS VICTOR'!$D:$D,'PRECIOS VICTOR'!$A:$A,$A311),0),"")</f>
        <v/>
      </c>
    </row>
    <row r="312" spans="1:4" x14ac:dyDescent="0.2">
      <c r="A312" s="319" t="s">
        <v>1439</v>
      </c>
      <c r="B312" s="320" t="s">
        <v>1440</v>
      </c>
      <c r="C312" s="319" t="s">
        <v>942</v>
      </c>
      <c r="D312" s="321" t="str">
        <f>IFERROR(ROUND(AVERAGEIFS('PRECIOS VICTOR'!$D:$D,'PRECIOS VICTOR'!$A:$A,$A312),0),"")</f>
        <v/>
      </c>
    </row>
    <row r="313" spans="1:4" x14ac:dyDescent="0.2">
      <c r="A313" s="319" t="s">
        <v>1441</v>
      </c>
      <c r="B313" s="320" t="s">
        <v>1442</v>
      </c>
      <c r="C313" s="319" t="s">
        <v>942</v>
      </c>
      <c r="D313" s="321" t="str">
        <f>IFERROR(ROUND(AVERAGEIFS('PRECIOS VICTOR'!$D:$D,'PRECIOS VICTOR'!$A:$A,$A313),0),"")</f>
        <v/>
      </c>
    </row>
    <row r="314" spans="1:4" x14ac:dyDescent="0.2">
      <c r="A314" s="319" t="s">
        <v>688</v>
      </c>
      <c r="B314" s="320" t="s">
        <v>1443</v>
      </c>
      <c r="C314" s="319" t="s">
        <v>906</v>
      </c>
      <c r="D314" s="321" t="str">
        <f>IFERROR(ROUND(AVERAGEIFS('PRECIOS VICTOR'!$D:$D,'PRECIOS VICTOR'!$A:$A,$A314),0),"")</f>
        <v/>
      </c>
    </row>
    <row r="315" spans="1:4" x14ac:dyDescent="0.2">
      <c r="A315" s="319" t="s">
        <v>830</v>
      </c>
      <c r="B315" s="320" t="s">
        <v>1011</v>
      </c>
      <c r="C315" s="319" t="s">
        <v>906</v>
      </c>
      <c r="D315" s="321">
        <f>IFERROR(ROUND(AVERAGEIFS('PRECIOS VICTOR'!$D:$D,'PRECIOS VICTOR'!$A:$A,$A315),0),"")</f>
        <v>3056</v>
      </c>
    </row>
    <row r="316" spans="1:4" x14ac:dyDescent="0.2">
      <c r="A316" s="319" t="s">
        <v>705</v>
      </c>
      <c r="B316" s="320" t="s">
        <v>524</v>
      </c>
      <c r="C316" s="319" t="s">
        <v>111</v>
      </c>
      <c r="D316" s="321">
        <f>IFERROR(ROUND(AVERAGEIFS('PRECIOS VICTOR'!$D:$D,'PRECIOS VICTOR'!$A:$A,$A316),0),"")</f>
        <v>182</v>
      </c>
    </row>
    <row r="317" spans="1:4" x14ac:dyDescent="0.2">
      <c r="A317" s="319" t="s">
        <v>1444</v>
      </c>
      <c r="B317" s="320" t="s">
        <v>1445</v>
      </c>
      <c r="C317" s="319" t="s">
        <v>15</v>
      </c>
      <c r="D317" s="321">
        <f>IFERROR(ROUND(AVERAGEIFS('PRECIOS VICTOR'!$D:$D,'PRECIOS VICTOR'!$A:$A,$A317),0),"")</f>
        <v>13542</v>
      </c>
    </row>
    <row r="318" spans="1:4" x14ac:dyDescent="0.2">
      <c r="A318" s="319" t="s">
        <v>780</v>
      </c>
      <c r="B318" s="320" t="s">
        <v>558</v>
      </c>
      <c r="C318" s="319" t="s">
        <v>111</v>
      </c>
      <c r="D318" s="321">
        <f>IFERROR(ROUND(AVERAGEIFS('PRECIOS VICTOR'!$D:$D,'PRECIOS VICTOR'!$A:$A,$A318),0),"")</f>
        <v>547</v>
      </c>
    </row>
    <row r="319" spans="1:4" x14ac:dyDescent="0.2">
      <c r="A319" s="319" t="s">
        <v>1087</v>
      </c>
      <c r="B319" s="320" t="s">
        <v>529</v>
      </c>
      <c r="C319" s="319" t="s">
        <v>906</v>
      </c>
      <c r="D319" s="321">
        <f>IFERROR(ROUND(AVERAGEIFS('PRECIOS VICTOR'!$D:$D,'PRECIOS VICTOR'!$A:$A,$A319),0),"")</f>
        <v>1785</v>
      </c>
    </row>
    <row r="320" spans="1:4" x14ac:dyDescent="0.2">
      <c r="A320" s="319" t="s">
        <v>730</v>
      </c>
      <c r="B320" s="320" t="s">
        <v>1051</v>
      </c>
      <c r="C320" s="319" t="s">
        <v>1007</v>
      </c>
      <c r="D320" s="321" t="str">
        <f>IFERROR(ROUND(AVERAGEIFS('PRECIOS VICTOR'!$D:$D,'PRECIOS VICTOR'!$A:$A,$A320),0),"")</f>
        <v/>
      </c>
    </row>
    <row r="321" spans="1:4" x14ac:dyDescent="0.2">
      <c r="A321" s="319" t="s">
        <v>629</v>
      </c>
      <c r="B321" s="320" t="s">
        <v>217</v>
      </c>
      <c r="C321" s="319" t="s">
        <v>1007</v>
      </c>
      <c r="D321" s="321">
        <f>IFERROR(ROUND(AVERAGEIFS('PRECIOS VICTOR'!$D:$D,'PRECIOS VICTOR'!$A:$A,$A321),0),"")</f>
        <v>7140</v>
      </c>
    </row>
    <row r="322" spans="1:4" x14ac:dyDescent="0.2">
      <c r="A322" s="319" t="s">
        <v>844</v>
      </c>
      <c r="B322" s="320" t="s">
        <v>495</v>
      </c>
      <c r="C322" s="319" t="s">
        <v>1007</v>
      </c>
      <c r="D322" s="321">
        <f>IFERROR(ROUND(AVERAGEIFS('PRECIOS VICTOR'!$D:$D,'PRECIOS VICTOR'!$A:$A,$A322),0),"")</f>
        <v>952</v>
      </c>
    </row>
    <row r="323" spans="1:4" x14ac:dyDescent="0.2">
      <c r="A323" s="319" t="s">
        <v>884</v>
      </c>
      <c r="B323" s="320" t="s">
        <v>481</v>
      </c>
      <c r="C323" s="319" t="s">
        <v>111</v>
      </c>
      <c r="D323" s="321">
        <f>IFERROR(ROUND(AVERAGEIFS('PRECIOS VICTOR'!$D:$D,'PRECIOS VICTOR'!$A:$A,$A323),0),"")</f>
        <v>259</v>
      </c>
    </row>
    <row r="324" spans="1:4" x14ac:dyDescent="0.2">
      <c r="A324" s="319" t="s">
        <v>1446</v>
      </c>
      <c r="B324" s="320" t="s">
        <v>1447</v>
      </c>
      <c r="C324" s="319" t="s">
        <v>15</v>
      </c>
      <c r="D324" s="321" t="str">
        <f>IFERROR(ROUND(AVERAGEIFS('PRECIOS VICTOR'!$D:$D,'PRECIOS VICTOR'!$A:$A,$A324),0),"")</f>
        <v/>
      </c>
    </row>
    <row r="325" spans="1:4" x14ac:dyDescent="0.2">
      <c r="A325" s="319" t="s">
        <v>1448</v>
      </c>
      <c r="B325" s="320" t="s">
        <v>1449</v>
      </c>
      <c r="C325" s="319" t="s">
        <v>906</v>
      </c>
      <c r="D325" s="321" t="str">
        <f>IFERROR(ROUND(AVERAGEIFS('PRECIOS VICTOR'!$D:$D,'PRECIOS VICTOR'!$A:$A,$A325),0),"")</f>
        <v/>
      </c>
    </row>
    <row r="326" spans="1:4" x14ac:dyDescent="0.2">
      <c r="A326" s="319" t="s">
        <v>1450</v>
      </c>
      <c r="B326" s="320" t="s">
        <v>1451</v>
      </c>
      <c r="C326" s="319" t="s">
        <v>906</v>
      </c>
      <c r="D326" s="321" t="str">
        <f>IFERROR(ROUND(AVERAGEIFS('PRECIOS VICTOR'!$D:$D,'PRECIOS VICTOR'!$A:$A,$A326),0),"")</f>
        <v/>
      </c>
    </row>
    <row r="327" spans="1:4" x14ac:dyDescent="0.2">
      <c r="A327" s="319" t="s">
        <v>754</v>
      </c>
      <c r="B327" s="320" t="s">
        <v>443</v>
      </c>
      <c r="C327" s="319" t="s">
        <v>906</v>
      </c>
      <c r="D327" s="321" t="str">
        <f>IFERROR(ROUND(AVERAGEIFS('PRECIOS VICTOR'!$D:$D,'PRECIOS VICTOR'!$A:$A,$A327),0),"")</f>
        <v/>
      </c>
    </row>
    <row r="328" spans="1:4" x14ac:dyDescent="0.2">
      <c r="A328" s="319" t="s">
        <v>755</v>
      </c>
      <c r="B328" s="320" t="s">
        <v>444</v>
      </c>
      <c r="C328" s="319" t="s">
        <v>906</v>
      </c>
      <c r="D328" s="321">
        <f>IFERROR(ROUND(AVERAGEIFS('PRECIOS VICTOR'!$D:$D,'PRECIOS VICTOR'!$A:$A,$A328),0),"")</f>
        <v>595</v>
      </c>
    </row>
    <row r="329" spans="1:4" x14ac:dyDescent="0.2">
      <c r="A329" s="319" t="s">
        <v>1452</v>
      </c>
      <c r="B329" s="320" t="s">
        <v>1453</v>
      </c>
      <c r="C329" s="319" t="s">
        <v>297</v>
      </c>
      <c r="D329" s="321" t="str">
        <f>IFERROR(ROUND(AVERAGEIFS('PRECIOS VICTOR'!$D:$D,'PRECIOS VICTOR'!$A:$A,$A329),0),"")</f>
        <v/>
      </c>
    </row>
    <row r="330" spans="1:4" x14ac:dyDescent="0.2">
      <c r="A330" s="319" t="s">
        <v>1454</v>
      </c>
      <c r="B330" s="320" t="s">
        <v>1455</v>
      </c>
      <c r="C330" s="319" t="s">
        <v>15</v>
      </c>
      <c r="D330" s="321">
        <f>IFERROR(ROUND(AVERAGEIFS('PRECIOS VICTOR'!$D:$D,'PRECIOS VICTOR'!$A:$A,$A330),0),"")</f>
        <v>4984</v>
      </c>
    </row>
    <row r="331" spans="1:4" x14ac:dyDescent="0.2">
      <c r="A331" s="319" t="s">
        <v>1456</v>
      </c>
      <c r="B331" s="320" t="s">
        <v>1457</v>
      </c>
      <c r="C331" s="319" t="s">
        <v>947</v>
      </c>
      <c r="D331" s="321" t="str">
        <f>IFERROR(ROUND(AVERAGEIFS('PRECIOS VICTOR'!$D:$D,'PRECIOS VICTOR'!$A:$A,$A331),0),"")</f>
        <v/>
      </c>
    </row>
    <row r="332" spans="1:4" x14ac:dyDescent="0.2">
      <c r="A332" s="319" t="s">
        <v>1088</v>
      </c>
      <c r="B332" s="320" t="s">
        <v>1089</v>
      </c>
      <c r="C332" s="319" t="s">
        <v>111</v>
      </c>
      <c r="D332" s="321">
        <f>IFERROR(ROUND(AVERAGEIFS('PRECIOS VICTOR'!$D:$D,'PRECIOS VICTOR'!$A:$A,$A332),0),"")</f>
        <v>30399</v>
      </c>
    </row>
    <row r="333" spans="1:4" x14ac:dyDescent="0.2">
      <c r="A333" s="319" t="s">
        <v>1458</v>
      </c>
      <c r="B333" s="320" t="s">
        <v>1459</v>
      </c>
      <c r="C333" s="319" t="s">
        <v>906</v>
      </c>
      <c r="D333" s="321" t="str">
        <f>IFERROR(ROUND(AVERAGEIFS('PRECIOS VICTOR'!$D:$D,'PRECIOS VICTOR'!$A:$A,$A333),0),"")</f>
        <v/>
      </c>
    </row>
    <row r="334" spans="1:4" x14ac:dyDescent="0.2">
      <c r="A334" s="319" t="s">
        <v>851</v>
      </c>
      <c r="B334" s="320" t="s">
        <v>591</v>
      </c>
      <c r="C334" s="319" t="s">
        <v>15</v>
      </c>
      <c r="D334" s="321">
        <f>IFERROR(ROUND(AVERAGEIFS('PRECIOS VICTOR'!$D:$D,'PRECIOS VICTOR'!$A:$A,$A334),0),"")</f>
        <v>2648</v>
      </c>
    </row>
    <row r="335" spans="1:4" x14ac:dyDescent="0.2">
      <c r="A335" s="319" t="s">
        <v>1090</v>
      </c>
      <c r="B335" s="320" t="s">
        <v>504</v>
      </c>
      <c r="C335" s="319" t="s">
        <v>1007</v>
      </c>
      <c r="D335" s="321">
        <f>IFERROR(ROUND(AVERAGEIFS('PRECIOS VICTOR'!$D:$D,'PRECIOS VICTOR'!$A:$A,$A335),0),"")</f>
        <v>1095</v>
      </c>
    </row>
    <row r="336" spans="1:4" x14ac:dyDescent="0.2">
      <c r="A336" s="319" t="s">
        <v>665</v>
      </c>
      <c r="B336" s="320" t="s">
        <v>507</v>
      </c>
      <c r="C336" s="319" t="s">
        <v>15</v>
      </c>
      <c r="D336" s="321" t="str">
        <f>IFERROR(ROUND(AVERAGEIFS('PRECIOS VICTOR'!$D:$D,'PRECIOS VICTOR'!$A:$A,$A336),0),"")</f>
        <v/>
      </c>
    </row>
    <row r="337" spans="1:4" x14ac:dyDescent="0.2">
      <c r="A337" s="319" t="s">
        <v>630</v>
      </c>
      <c r="B337" s="320" t="s">
        <v>1460</v>
      </c>
      <c r="C337" s="319" t="s">
        <v>1007</v>
      </c>
      <c r="D337" s="321">
        <f>IFERROR(ROUND(AVERAGEIFS('PRECIOS VICTOR'!$D:$D,'PRECIOS VICTOR'!$A:$A,$A337),0),"")</f>
        <v>476</v>
      </c>
    </row>
    <row r="338" spans="1:4" x14ac:dyDescent="0.2">
      <c r="A338" s="319" t="s">
        <v>1461</v>
      </c>
      <c r="B338" s="320" t="s">
        <v>1076</v>
      </c>
      <c r="C338" s="319" t="s">
        <v>15</v>
      </c>
      <c r="D338" s="321" t="str">
        <f>IFERROR(ROUND(AVERAGEIFS('PRECIOS VICTOR'!$D:$D,'PRECIOS VICTOR'!$A:$A,$A338),0),"")</f>
        <v/>
      </c>
    </row>
    <row r="339" spans="1:4" x14ac:dyDescent="0.2">
      <c r="A339" s="319" t="s">
        <v>1462</v>
      </c>
      <c r="B339" s="320" t="s">
        <v>1463</v>
      </c>
      <c r="C339" s="319" t="s">
        <v>15</v>
      </c>
      <c r="D339" s="321" t="str">
        <f>IFERROR(ROUND(AVERAGEIFS('PRECIOS VICTOR'!$D:$D,'PRECIOS VICTOR'!$A:$A,$A339),0),"")</f>
        <v/>
      </c>
    </row>
    <row r="340" spans="1:4" x14ac:dyDescent="0.2">
      <c r="A340" s="319" t="s">
        <v>1464</v>
      </c>
      <c r="B340" s="320" t="s">
        <v>1465</v>
      </c>
      <c r="C340" s="319" t="s">
        <v>1007</v>
      </c>
      <c r="D340" s="321" t="str">
        <f>IFERROR(ROUND(AVERAGEIFS('PRECIOS VICTOR'!$D:$D,'PRECIOS VICTOR'!$A:$A,$A340),0),"")</f>
        <v/>
      </c>
    </row>
    <row r="341" spans="1:4" x14ac:dyDescent="0.2">
      <c r="A341" s="319" t="s">
        <v>1466</v>
      </c>
      <c r="B341" s="320" t="s">
        <v>1467</v>
      </c>
      <c r="C341" s="319" t="s">
        <v>1007</v>
      </c>
      <c r="D341" s="321">
        <f>IFERROR(ROUND(AVERAGEIFS('PRECIOS VICTOR'!$D:$D,'PRECIOS VICTOR'!$A:$A,$A341),0),"")</f>
        <v>2850</v>
      </c>
    </row>
    <row r="342" spans="1:4" x14ac:dyDescent="0.2">
      <c r="A342" s="319" t="s">
        <v>1468</v>
      </c>
      <c r="B342" s="320" t="s">
        <v>1436</v>
      </c>
      <c r="C342" s="319" t="s">
        <v>1007</v>
      </c>
      <c r="D342" s="321" t="str">
        <f>IFERROR(ROUND(AVERAGEIFS('PRECIOS VICTOR'!$D:$D,'PRECIOS VICTOR'!$A:$A,$A342),0),"")</f>
        <v/>
      </c>
    </row>
    <row r="343" spans="1:4" x14ac:dyDescent="0.2">
      <c r="A343" s="319" t="s">
        <v>689</v>
      </c>
      <c r="B343" s="320" t="s">
        <v>461</v>
      </c>
      <c r="C343" s="319" t="s">
        <v>111</v>
      </c>
      <c r="D343" s="321">
        <f>IFERROR(ROUND(AVERAGEIFS('PRECIOS VICTOR'!$D:$D,'PRECIOS VICTOR'!$A:$A,$A343),0),"")</f>
        <v>333</v>
      </c>
    </row>
    <row r="344" spans="1:4" x14ac:dyDescent="0.2">
      <c r="A344" s="319" t="s">
        <v>799</v>
      </c>
      <c r="B344" s="320" t="s">
        <v>1091</v>
      </c>
      <c r="C344" s="319" t="s">
        <v>15</v>
      </c>
      <c r="D344" s="321">
        <f>IFERROR(ROUND(AVERAGEIFS('PRECIOS VICTOR'!$D:$D,'PRECIOS VICTOR'!$A:$A,$A344),0),"")</f>
        <v>3203</v>
      </c>
    </row>
    <row r="345" spans="1:4" x14ac:dyDescent="0.2">
      <c r="A345" s="319" t="s">
        <v>1092</v>
      </c>
      <c r="B345" s="320" t="s">
        <v>38</v>
      </c>
      <c r="C345" s="319" t="s">
        <v>906</v>
      </c>
      <c r="D345" s="321">
        <f>IFERROR(ROUND(AVERAGEIFS('PRECIOS VICTOR'!$D:$D,'PRECIOS VICTOR'!$A:$A,$A345),0),"")</f>
        <v>1357</v>
      </c>
    </row>
    <row r="346" spans="1:4" x14ac:dyDescent="0.2">
      <c r="A346" s="319" t="s">
        <v>1469</v>
      </c>
      <c r="B346" s="320" t="s">
        <v>1399</v>
      </c>
      <c r="C346" s="319" t="s">
        <v>906</v>
      </c>
      <c r="D346" s="321" t="str">
        <f>IFERROR(ROUND(AVERAGEIFS('PRECIOS VICTOR'!$D:$D,'PRECIOS VICTOR'!$A:$A,$A346),0),"")</f>
        <v/>
      </c>
    </row>
    <row r="347" spans="1:4" x14ac:dyDescent="0.2">
      <c r="A347" s="319" t="s">
        <v>802</v>
      </c>
      <c r="B347" s="320" t="s">
        <v>1004</v>
      </c>
      <c r="C347" s="319" t="s">
        <v>906</v>
      </c>
      <c r="D347" s="321">
        <f>IFERROR(ROUND(AVERAGEIFS('PRECIOS VICTOR'!$D:$D,'PRECIOS VICTOR'!$A:$A,$A347),0),"")</f>
        <v>1970</v>
      </c>
    </row>
    <row r="348" spans="1:4" x14ac:dyDescent="0.2">
      <c r="A348" s="319" t="s">
        <v>806</v>
      </c>
      <c r="B348" s="320" t="s">
        <v>1005</v>
      </c>
      <c r="C348" s="319" t="s">
        <v>906</v>
      </c>
      <c r="D348" s="321">
        <f>IFERROR(ROUND(AVERAGEIFS('PRECIOS VICTOR'!$D:$D,'PRECIOS VICTOR'!$A:$A,$A348),0),"")</f>
        <v>1626</v>
      </c>
    </row>
    <row r="349" spans="1:4" x14ac:dyDescent="0.2">
      <c r="A349" s="319" t="s">
        <v>1093</v>
      </c>
      <c r="B349" s="320" t="s">
        <v>1094</v>
      </c>
      <c r="C349" s="319" t="s">
        <v>297</v>
      </c>
      <c r="D349" s="321" t="str">
        <f>IFERROR(ROUND(AVERAGEIFS('PRECIOS VICTOR'!$D:$D,'PRECIOS VICTOR'!$A:$A,$A349),0),"")</f>
        <v/>
      </c>
    </row>
    <row r="350" spans="1:4" x14ac:dyDescent="0.2">
      <c r="A350" s="319" t="s">
        <v>1470</v>
      </c>
      <c r="B350" s="320" t="s">
        <v>1471</v>
      </c>
      <c r="C350" s="319" t="s">
        <v>15</v>
      </c>
      <c r="D350" s="321" t="str">
        <f>IFERROR(ROUND(AVERAGEIFS('PRECIOS VICTOR'!$D:$D,'PRECIOS VICTOR'!$A:$A,$A350),0),"")</f>
        <v/>
      </c>
    </row>
    <row r="351" spans="1:4" x14ac:dyDescent="0.2">
      <c r="A351" s="319" t="s">
        <v>834</v>
      </c>
      <c r="B351" s="320" t="s">
        <v>445</v>
      </c>
      <c r="C351" s="319" t="s">
        <v>15</v>
      </c>
      <c r="D351" s="321">
        <f>IFERROR(ROUND(AVERAGEIFS('PRECIOS VICTOR'!$D:$D,'PRECIOS VICTOR'!$A:$A,$A351),0),"")</f>
        <v>2500</v>
      </c>
    </row>
    <row r="352" spans="1:4" x14ac:dyDescent="0.2">
      <c r="A352" s="319" t="s">
        <v>1472</v>
      </c>
      <c r="B352" s="320" t="s">
        <v>1473</v>
      </c>
      <c r="C352" s="319" t="s">
        <v>906</v>
      </c>
      <c r="D352" s="321" t="str">
        <f>IFERROR(ROUND(AVERAGEIFS('PRECIOS VICTOR'!$D:$D,'PRECIOS VICTOR'!$A:$A,$A352),0),"")</f>
        <v/>
      </c>
    </row>
    <row r="353" spans="1:4" x14ac:dyDescent="0.2">
      <c r="A353" s="319" t="s">
        <v>1474</v>
      </c>
      <c r="B353" s="320" t="s">
        <v>33</v>
      </c>
      <c r="C353" s="319" t="s">
        <v>981</v>
      </c>
      <c r="D353" s="321" t="str">
        <f>IFERROR(ROUND(AVERAGEIFS('PRECIOS VICTOR'!$D:$D,'PRECIOS VICTOR'!$A:$A,$A353),0),"")</f>
        <v/>
      </c>
    </row>
    <row r="354" spans="1:4" x14ac:dyDescent="0.2">
      <c r="A354" s="319" t="s">
        <v>663</v>
      </c>
      <c r="B354" s="320" t="s">
        <v>496</v>
      </c>
      <c r="C354" s="319" t="s">
        <v>111</v>
      </c>
      <c r="D354" s="321" t="str">
        <f>IFERROR(ROUND(AVERAGEIFS('PRECIOS VICTOR'!$D:$D,'PRECIOS VICTOR'!$A:$A,$A354),0),"")</f>
        <v/>
      </c>
    </row>
    <row r="355" spans="1:4" x14ac:dyDescent="0.2">
      <c r="A355" s="319" t="s">
        <v>696</v>
      </c>
      <c r="B355" s="320" t="s">
        <v>695</v>
      </c>
      <c r="C355" s="319" t="s">
        <v>111</v>
      </c>
      <c r="D355" s="321" t="str">
        <f>IFERROR(ROUND(AVERAGEIFS('PRECIOS VICTOR'!$D:$D,'PRECIOS VICTOR'!$A:$A,$A355),0),"")</f>
        <v/>
      </c>
    </row>
    <row r="356" spans="1:4" x14ac:dyDescent="0.2">
      <c r="A356" s="319" t="s">
        <v>1475</v>
      </c>
      <c r="B356" s="320" t="s">
        <v>1476</v>
      </c>
      <c r="C356" s="319" t="s">
        <v>15</v>
      </c>
      <c r="D356" s="321" t="str">
        <f>IFERROR(ROUND(AVERAGEIFS('PRECIOS VICTOR'!$D:$D,'PRECIOS VICTOR'!$A:$A,$A356),0),"")</f>
        <v/>
      </c>
    </row>
    <row r="357" spans="1:4" x14ac:dyDescent="0.2">
      <c r="A357" s="319" t="s">
        <v>1097</v>
      </c>
      <c r="B357" s="320" t="s">
        <v>1098</v>
      </c>
      <c r="C357" s="319" t="s">
        <v>947</v>
      </c>
      <c r="D357" s="321" t="str">
        <f>IFERROR(ROUND(AVERAGEIFS('PRECIOS VICTOR'!$D:$D,'PRECIOS VICTOR'!$A:$A,$A357),0),"")</f>
        <v/>
      </c>
    </row>
    <row r="358" spans="1:4" x14ac:dyDescent="0.2">
      <c r="A358" s="319" t="s">
        <v>1099</v>
      </c>
      <c r="B358" s="320" t="s">
        <v>1100</v>
      </c>
      <c r="C358" s="319" t="s">
        <v>947</v>
      </c>
      <c r="D358" s="321">
        <f>IFERROR(ROUND(AVERAGEIFS('PRECIOS VICTOR'!$D:$D,'PRECIOS VICTOR'!$A:$A,$A358),0),"")</f>
        <v>1249</v>
      </c>
    </row>
    <row r="359" spans="1:4" x14ac:dyDescent="0.2">
      <c r="A359" s="319" t="s">
        <v>1477</v>
      </c>
      <c r="B359" s="320" t="s">
        <v>1478</v>
      </c>
      <c r="C359" s="319" t="s">
        <v>947</v>
      </c>
      <c r="D359" s="321" t="str">
        <f>IFERROR(ROUND(AVERAGEIFS('PRECIOS VICTOR'!$D:$D,'PRECIOS VICTOR'!$A:$A,$A359),0),"")</f>
        <v/>
      </c>
    </row>
    <row r="360" spans="1:4" x14ac:dyDescent="0.2">
      <c r="A360" s="319" t="s">
        <v>1101</v>
      </c>
      <c r="B360" s="320" t="s">
        <v>1102</v>
      </c>
      <c r="C360" s="319" t="s">
        <v>111</v>
      </c>
      <c r="D360" s="321">
        <f>IFERROR(ROUND(AVERAGEIFS('PRECIOS VICTOR'!$D:$D,'PRECIOS VICTOR'!$A:$A,$A360),0),"")</f>
        <v>780</v>
      </c>
    </row>
    <row r="361" spans="1:4" x14ac:dyDescent="0.2">
      <c r="A361" s="319" t="s">
        <v>1479</v>
      </c>
      <c r="B361" s="320" t="s">
        <v>1480</v>
      </c>
      <c r="C361" s="319" t="s">
        <v>111</v>
      </c>
      <c r="D361" s="321" t="str">
        <f>IFERROR(ROUND(AVERAGEIFS('PRECIOS VICTOR'!$D:$D,'PRECIOS VICTOR'!$A:$A,$A361),0),"")</f>
        <v/>
      </c>
    </row>
    <row r="362" spans="1:4" x14ac:dyDescent="0.2">
      <c r="A362" s="319" t="s">
        <v>1481</v>
      </c>
      <c r="B362" s="320" t="s">
        <v>1482</v>
      </c>
      <c r="C362" s="319" t="s">
        <v>15</v>
      </c>
      <c r="D362" s="321" t="str">
        <f>IFERROR(ROUND(AVERAGEIFS('PRECIOS VICTOR'!$D:$D,'PRECIOS VICTOR'!$A:$A,$A362),0),"")</f>
        <v/>
      </c>
    </row>
    <row r="363" spans="1:4" x14ac:dyDescent="0.2">
      <c r="A363" s="319" t="s">
        <v>1483</v>
      </c>
      <c r="B363" s="320" t="s">
        <v>1484</v>
      </c>
      <c r="C363" s="319" t="s">
        <v>111</v>
      </c>
      <c r="D363" s="321" t="str">
        <f>IFERROR(ROUND(AVERAGEIFS('PRECIOS VICTOR'!$D:$D,'PRECIOS VICTOR'!$A:$A,$A363),0),"")</f>
        <v/>
      </c>
    </row>
    <row r="364" spans="1:4" x14ac:dyDescent="0.2">
      <c r="A364" s="319" t="s">
        <v>1485</v>
      </c>
      <c r="B364" s="320" t="s">
        <v>1486</v>
      </c>
      <c r="C364" s="319" t="s">
        <v>942</v>
      </c>
      <c r="D364" s="321" t="str">
        <f>IFERROR(ROUND(AVERAGEIFS('PRECIOS VICTOR'!$D:$D,'PRECIOS VICTOR'!$A:$A,$A364),0),"")</f>
        <v/>
      </c>
    </row>
    <row r="365" spans="1:4" x14ac:dyDescent="0.2">
      <c r="A365" s="319" t="s">
        <v>786</v>
      </c>
      <c r="B365" s="320" t="s">
        <v>446</v>
      </c>
      <c r="C365" s="319" t="s">
        <v>111</v>
      </c>
      <c r="D365" s="321">
        <f>IFERROR(ROUND(AVERAGEIFS('PRECIOS VICTOR'!$D:$D,'PRECIOS VICTOR'!$A:$A,$A365),0),"")</f>
        <v>452</v>
      </c>
    </row>
    <row r="366" spans="1:4" x14ac:dyDescent="0.2">
      <c r="A366" s="319" t="s">
        <v>1487</v>
      </c>
      <c r="B366" s="320" t="s">
        <v>233</v>
      </c>
      <c r="C366" s="319" t="s">
        <v>956</v>
      </c>
      <c r="D366" s="321">
        <f>IFERROR(ROUND(AVERAGEIFS('PRECIOS VICTOR'!$D:$D,'PRECIOS VICTOR'!$A:$A,$A366),0),"")</f>
        <v>11500</v>
      </c>
    </row>
    <row r="367" spans="1:4" x14ac:dyDescent="0.2">
      <c r="A367" s="319" t="s">
        <v>779</v>
      </c>
      <c r="B367" s="320" t="s">
        <v>559</v>
      </c>
      <c r="C367" s="319" t="s">
        <v>947</v>
      </c>
      <c r="D367" s="321">
        <f>IFERROR(ROUND(AVERAGEIFS('PRECIOS VICTOR'!$D:$D,'PRECIOS VICTOR'!$A:$A,$A367),0),"")</f>
        <v>1843</v>
      </c>
    </row>
    <row r="368" spans="1:4" x14ac:dyDescent="0.2">
      <c r="A368" s="319" t="s">
        <v>835</v>
      </c>
      <c r="B368" s="320" t="s">
        <v>462</v>
      </c>
      <c r="C368" s="319" t="s">
        <v>15</v>
      </c>
      <c r="D368" s="321" t="str">
        <f>IFERROR(ROUND(AVERAGEIFS('PRECIOS VICTOR'!$D:$D,'PRECIOS VICTOR'!$A:$A,$A368),0),"")</f>
        <v/>
      </c>
    </row>
    <row r="369" spans="1:4" x14ac:dyDescent="0.2">
      <c r="A369" s="319" t="s">
        <v>1488</v>
      </c>
      <c r="B369" s="320" t="s">
        <v>1489</v>
      </c>
      <c r="C369" s="319" t="s">
        <v>15</v>
      </c>
      <c r="D369" s="321">
        <f>IFERROR(ROUND(AVERAGEIFS('PRECIOS VICTOR'!$D:$D,'PRECIOS VICTOR'!$A:$A,$A369),0),"")</f>
        <v>9574</v>
      </c>
    </row>
    <row r="370" spans="1:4" x14ac:dyDescent="0.2">
      <c r="A370" s="319" t="s">
        <v>864</v>
      </c>
      <c r="B370" s="320" t="s">
        <v>1035</v>
      </c>
      <c r="C370" s="319" t="s">
        <v>956</v>
      </c>
      <c r="D370" s="321" t="str">
        <f>IFERROR(ROUND(AVERAGEIFS('PRECIOS VICTOR'!$D:$D,'PRECIOS VICTOR'!$A:$A,$A370),0),"")</f>
        <v/>
      </c>
    </row>
    <row r="371" spans="1:4" x14ac:dyDescent="0.2">
      <c r="A371" s="319" t="s">
        <v>1490</v>
      </c>
      <c r="B371" s="320" t="s">
        <v>595</v>
      </c>
      <c r="C371" s="319" t="s">
        <v>15</v>
      </c>
      <c r="D371" s="321" t="str">
        <f>IFERROR(ROUND(AVERAGEIFS('PRECIOS VICTOR'!$D:$D,'PRECIOS VICTOR'!$A:$A,$A371),0),"")</f>
        <v/>
      </c>
    </row>
    <row r="372" spans="1:4" x14ac:dyDescent="0.2">
      <c r="A372" s="319" t="s">
        <v>753</v>
      </c>
      <c r="B372" s="320" t="s">
        <v>463</v>
      </c>
      <c r="C372" s="319" t="s">
        <v>906</v>
      </c>
      <c r="D372" s="321" t="str">
        <f>IFERROR(ROUND(AVERAGEIFS('PRECIOS VICTOR'!$D:$D,'PRECIOS VICTOR'!$A:$A,$A372),0),"")</f>
        <v/>
      </c>
    </row>
    <row r="373" spans="1:4" x14ac:dyDescent="0.2">
      <c r="A373" s="319" t="s">
        <v>756</v>
      </c>
      <c r="B373" s="320" t="s">
        <v>1491</v>
      </c>
      <c r="C373" s="319" t="s">
        <v>906</v>
      </c>
      <c r="D373" s="321">
        <f>IFERROR(ROUND(AVERAGEIFS('PRECIOS VICTOR'!$D:$D,'PRECIOS VICTOR'!$A:$A,$A373),0),"")</f>
        <v>630</v>
      </c>
    </row>
    <row r="374" spans="1:4" x14ac:dyDescent="0.2">
      <c r="A374" s="319" t="s">
        <v>750</v>
      </c>
      <c r="B374" s="320" t="s">
        <v>545</v>
      </c>
      <c r="C374" s="319" t="s">
        <v>906</v>
      </c>
      <c r="D374" s="321" t="str">
        <f>IFERROR(ROUND(AVERAGEIFS('PRECIOS VICTOR'!$D:$D,'PRECIOS VICTOR'!$A:$A,$A374),0),"")</f>
        <v/>
      </c>
    </row>
    <row r="375" spans="1:4" x14ac:dyDescent="0.2">
      <c r="A375" s="319" t="s">
        <v>1492</v>
      </c>
      <c r="B375" s="320" t="s">
        <v>1493</v>
      </c>
      <c r="C375" s="319" t="s">
        <v>906</v>
      </c>
      <c r="D375" s="321">
        <f>IFERROR(ROUND(AVERAGEIFS('PRECIOS VICTOR'!$D:$D,'PRECIOS VICTOR'!$A:$A,$A375),0),"")</f>
        <v>999</v>
      </c>
    </row>
    <row r="376" spans="1:4" x14ac:dyDescent="0.2">
      <c r="A376" s="319" t="s">
        <v>1105</v>
      </c>
      <c r="B376" s="320" t="s">
        <v>1106</v>
      </c>
      <c r="C376" s="319" t="s">
        <v>111</v>
      </c>
      <c r="D376" s="321">
        <f>IFERROR(ROUND(AVERAGEIFS('PRECIOS VICTOR'!$D:$D,'PRECIOS VICTOR'!$A:$A,$A376),0),"")</f>
        <v>6060</v>
      </c>
    </row>
    <row r="377" spans="1:4" x14ac:dyDescent="0.2">
      <c r="A377" s="319" t="s">
        <v>1494</v>
      </c>
      <c r="B377" s="320" t="s">
        <v>1495</v>
      </c>
      <c r="C377" s="319" t="s">
        <v>111</v>
      </c>
      <c r="D377" s="321">
        <f>IFERROR(ROUND(AVERAGEIFS('PRECIOS VICTOR'!$D:$D,'PRECIOS VICTOR'!$A:$A,$A377),0),"")</f>
        <v>6500</v>
      </c>
    </row>
    <row r="378" spans="1:4" x14ac:dyDescent="0.2">
      <c r="A378" s="319" t="s">
        <v>1496</v>
      </c>
      <c r="B378" s="320" t="s">
        <v>1497</v>
      </c>
      <c r="C378" s="319" t="s">
        <v>973</v>
      </c>
      <c r="D378" s="321" t="str">
        <f>IFERROR(ROUND(AVERAGEIFS('PRECIOS VICTOR'!$D:$D,'PRECIOS VICTOR'!$A:$A,$A378),0),"")</f>
        <v/>
      </c>
    </row>
    <row r="379" spans="1:4" x14ac:dyDescent="0.2">
      <c r="A379" s="319" t="s">
        <v>1498</v>
      </c>
      <c r="B379" s="320" t="s">
        <v>1499</v>
      </c>
      <c r="C379" s="319" t="s">
        <v>15</v>
      </c>
      <c r="D379" s="321" t="str">
        <f>IFERROR(ROUND(AVERAGEIFS('PRECIOS VICTOR'!$D:$D,'PRECIOS VICTOR'!$A:$A,$A379),0),"")</f>
        <v/>
      </c>
    </row>
    <row r="380" spans="1:4" x14ac:dyDescent="0.2">
      <c r="A380" s="319" t="s">
        <v>818</v>
      </c>
      <c r="B380" s="320" t="s">
        <v>1500</v>
      </c>
      <c r="C380" s="319" t="s">
        <v>1007</v>
      </c>
      <c r="D380" s="321" t="str">
        <f>IFERROR(ROUND(AVERAGEIFS('PRECIOS VICTOR'!$D:$D,'PRECIOS VICTOR'!$A:$A,$A380),0),"")</f>
        <v/>
      </c>
    </row>
    <row r="381" spans="1:4" x14ac:dyDescent="0.2">
      <c r="A381" s="319" t="s">
        <v>874</v>
      </c>
      <c r="B381" s="320" t="s">
        <v>608</v>
      </c>
      <c r="C381" s="319" t="s">
        <v>111</v>
      </c>
      <c r="D381" s="321">
        <f>IFERROR(ROUND(AVERAGEIFS('PRECIOS VICTOR'!$D:$D,'PRECIOS VICTOR'!$A:$A,$A381),0),"")</f>
        <v>321</v>
      </c>
    </row>
    <row r="382" spans="1:4" x14ac:dyDescent="0.2">
      <c r="A382" s="319" t="s">
        <v>1501</v>
      </c>
      <c r="B382" s="320" t="s">
        <v>1502</v>
      </c>
      <c r="C382" s="319" t="s">
        <v>15</v>
      </c>
      <c r="D382" s="321">
        <f>IFERROR(ROUND(AVERAGEIFS('PRECIOS VICTOR'!$D:$D,'PRECIOS VICTOR'!$A:$A,$A382),0),"")</f>
        <v>1555</v>
      </c>
    </row>
    <row r="383" spans="1:4" x14ac:dyDescent="0.2">
      <c r="A383" s="319" t="s">
        <v>843</v>
      </c>
      <c r="B383" s="320" t="s">
        <v>482</v>
      </c>
      <c r="C383" s="319" t="s">
        <v>111</v>
      </c>
      <c r="D383" s="321">
        <f>IFERROR(ROUND(AVERAGEIFS('PRECIOS VICTOR'!$D:$D,'PRECIOS VICTOR'!$A:$A,$A383),0),"")</f>
        <v>916</v>
      </c>
    </row>
    <row r="384" spans="1:4" x14ac:dyDescent="0.2">
      <c r="A384" s="319" t="s">
        <v>703</v>
      </c>
      <c r="B384" s="320" t="s">
        <v>523</v>
      </c>
      <c r="C384" s="319" t="s">
        <v>906</v>
      </c>
      <c r="D384" s="321" t="str">
        <f>IFERROR(ROUND(AVERAGEIFS('PRECIOS VICTOR'!$D:$D,'PRECIOS VICTOR'!$A:$A,$A384),0),"")</f>
        <v/>
      </c>
    </row>
    <row r="385" spans="1:4" x14ac:dyDescent="0.2">
      <c r="A385" s="319" t="s">
        <v>1503</v>
      </c>
      <c r="B385" s="320" t="s">
        <v>1504</v>
      </c>
      <c r="C385" s="319" t="s">
        <v>15</v>
      </c>
      <c r="D385" s="321" t="str">
        <f>IFERROR(ROUND(AVERAGEIFS('PRECIOS VICTOR'!$D:$D,'PRECIOS VICTOR'!$A:$A,$A385),0),"")</f>
        <v/>
      </c>
    </row>
    <row r="386" spans="1:4" x14ac:dyDescent="0.2">
      <c r="A386" s="319" t="s">
        <v>1108</v>
      </c>
      <c r="B386" s="320" t="s">
        <v>1109</v>
      </c>
      <c r="C386" s="319" t="s">
        <v>15</v>
      </c>
      <c r="D386" s="321" t="str">
        <f>IFERROR(ROUND(AVERAGEIFS('PRECIOS VICTOR'!$D:$D,'PRECIOS VICTOR'!$A:$A,$A386),0),"")</f>
        <v/>
      </c>
    </row>
    <row r="387" spans="1:4" x14ac:dyDescent="0.2">
      <c r="A387" s="319" t="s">
        <v>1505</v>
      </c>
      <c r="B387" s="320" t="s">
        <v>1506</v>
      </c>
      <c r="C387" s="319" t="s">
        <v>15</v>
      </c>
      <c r="D387" s="321" t="str">
        <f>IFERROR(ROUND(AVERAGEIFS('PRECIOS VICTOR'!$D:$D,'PRECIOS VICTOR'!$A:$A,$A387),0),"")</f>
        <v/>
      </c>
    </row>
    <row r="388" spans="1:4" x14ac:dyDescent="0.2">
      <c r="A388" s="319" t="s">
        <v>842</v>
      </c>
      <c r="B388" s="320" t="s">
        <v>464</v>
      </c>
      <c r="C388" s="319" t="s">
        <v>15</v>
      </c>
      <c r="D388" s="321">
        <f>IFERROR(ROUND(AVERAGEIFS('PRECIOS VICTOR'!$D:$D,'PRECIOS VICTOR'!$A:$A,$A388),0),"")</f>
        <v>3389</v>
      </c>
    </row>
    <row r="389" spans="1:4" x14ac:dyDescent="0.2">
      <c r="A389" s="319" t="s">
        <v>1110</v>
      </c>
      <c r="B389" s="320" t="s">
        <v>1006</v>
      </c>
      <c r="C389" s="319" t="s">
        <v>956</v>
      </c>
      <c r="D389" s="321" t="str">
        <f>IFERROR(ROUND(AVERAGEIFS('PRECIOS VICTOR'!$D:$D,'PRECIOS VICTOR'!$A:$A,$A389),0),"")</f>
        <v/>
      </c>
    </row>
    <row r="390" spans="1:4" x14ac:dyDescent="0.2">
      <c r="A390" s="319" t="s">
        <v>741</v>
      </c>
      <c r="B390" s="320" t="s">
        <v>483</v>
      </c>
      <c r="C390" s="319" t="s">
        <v>15</v>
      </c>
      <c r="D390" s="321">
        <f>IFERROR(ROUND(AVERAGEIFS('PRECIOS VICTOR'!$D:$D,'PRECIOS VICTOR'!$A:$A,$A390),0),"")</f>
        <v>2500</v>
      </c>
    </row>
    <row r="391" spans="1:4" x14ac:dyDescent="0.2">
      <c r="A391" s="319" t="s">
        <v>1111</v>
      </c>
      <c r="B391" s="320" t="s">
        <v>1112</v>
      </c>
      <c r="C391" s="319" t="s">
        <v>947</v>
      </c>
      <c r="D391" s="321" t="str">
        <f>IFERROR(ROUND(AVERAGEIFS('PRECIOS VICTOR'!$D:$D,'PRECIOS VICTOR'!$A:$A,$A391),0),"")</f>
        <v/>
      </c>
    </row>
    <row r="392" spans="1:4" x14ac:dyDescent="0.2">
      <c r="A392" s="319" t="s">
        <v>1507</v>
      </c>
      <c r="B392" s="320" t="s">
        <v>1508</v>
      </c>
      <c r="C392" s="319" t="s">
        <v>15</v>
      </c>
      <c r="D392" s="321" t="str">
        <f>IFERROR(ROUND(AVERAGEIFS('PRECIOS VICTOR'!$D:$D,'PRECIOS VICTOR'!$A:$A,$A392),0),"")</f>
        <v/>
      </c>
    </row>
    <row r="393" spans="1:4" x14ac:dyDescent="0.2">
      <c r="A393" s="319" t="s">
        <v>744</v>
      </c>
      <c r="B393" s="320" t="s">
        <v>436</v>
      </c>
      <c r="C393" s="319" t="s">
        <v>15</v>
      </c>
      <c r="D393" s="321">
        <f>IFERROR(ROUND(AVERAGEIFS('PRECIOS VICTOR'!$D:$D,'PRECIOS VICTOR'!$A:$A,$A393),0),"")</f>
        <v>2524</v>
      </c>
    </row>
    <row r="394" spans="1:4" x14ac:dyDescent="0.2">
      <c r="A394" s="319" t="s">
        <v>821</v>
      </c>
      <c r="B394" s="320" t="s">
        <v>81</v>
      </c>
      <c r="C394" s="319" t="s">
        <v>15</v>
      </c>
      <c r="D394" s="321" t="str">
        <f>IFERROR(ROUND(AVERAGEIFS('PRECIOS VICTOR'!$D:$D,'PRECIOS VICTOR'!$A:$A,$A394),0),"")</f>
        <v/>
      </c>
    </row>
    <row r="395" spans="1:4" x14ac:dyDescent="0.2">
      <c r="A395" s="319" t="s">
        <v>1509</v>
      </c>
      <c r="B395" s="320" t="s">
        <v>471</v>
      </c>
      <c r="C395" s="319" t="s">
        <v>15</v>
      </c>
      <c r="D395" s="321">
        <f>IFERROR(ROUND(AVERAGEIFS('PRECIOS VICTOR'!$D:$D,'PRECIOS VICTOR'!$A:$A,$A395),0),"")</f>
        <v>13620</v>
      </c>
    </row>
    <row r="396" spans="1:4" x14ac:dyDescent="0.2">
      <c r="A396" s="319" t="s">
        <v>1510</v>
      </c>
      <c r="B396" s="320" t="s">
        <v>391</v>
      </c>
      <c r="C396" s="319" t="s">
        <v>942</v>
      </c>
      <c r="D396" s="321" t="str">
        <f>IFERROR(ROUND(AVERAGEIFS('PRECIOS VICTOR'!$D:$D,'PRECIOS VICTOR'!$A:$A,$A396),0),"")</f>
        <v/>
      </c>
    </row>
    <row r="397" spans="1:4" x14ac:dyDescent="0.2">
      <c r="A397" s="319" t="s">
        <v>1511</v>
      </c>
      <c r="B397" s="320" t="s">
        <v>1512</v>
      </c>
      <c r="C397" s="319" t="s">
        <v>111</v>
      </c>
      <c r="D397" s="321" t="str">
        <f>IFERROR(ROUND(AVERAGEIFS('PRECIOS VICTOR'!$D:$D,'PRECIOS VICTOR'!$A:$A,$A397),0),"")</f>
        <v/>
      </c>
    </row>
    <row r="398" spans="1:4" x14ac:dyDescent="0.2">
      <c r="A398" s="319" t="s">
        <v>1513</v>
      </c>
      <c r="B398" s="320" t="s">
        <v>1514</v>
      </c>
      <c r="C398" s="319" t="s">
        <v>111</v>
      </c>
      <c r="D398" s="321" t="str">
        <f>IFERROR(ROUND(AVERAGEIFS('PRECIOS VICTOR'!$D:$D,'PRECIOS VICTOR'!$A:$A,$A398),0),"")</f>
        <v/>
      </c>
    </row>
    <row r="399" spans="1:4" x14ac:dyDescent="0.2">
      <c r="A399" s="319" t="s">
        <v>807</v>
      </c>
      <c r="B399" s="320" t="s">
        <v>569</v>
      </c>
      <c r="C399" s="319" t="s">
        <v>15</v>
      </c>
      <c r="D399" s="321">
        <f>IFERROR(ROUND(AVERAGEIFS('PRECIOS VICTOR'!$D:$D,'PRECIOS VICTOR'!$A:$A,$A399),0),"")</f>
        <v>2261</v>
      </c>
    </row>
    <row r="400" spans="1:4" x14ac:dyDescent="0.2">
      <c r="A400" s="319" t="s">
        <v>735</v>
      </c>
      <c r="B400" s="320" t="s">
        <v>497</v>
      </c>
      <c r="C400" s="319" t="s">
        <v>981</v>
      </c>
      <c r="D400" s="321">
        <f>IFERROR(ROUND(AVERAGEIFS('PRECIOS VICTOR'!$D:$D,'PRECIOS VICTOR'!$A:$A,$A400),0),"")</f>
        <v>3583</v>
      </c>
    </row>
    <row r="401" spans="1:4" x14ac:dyDescent="0.2">
      <c r="A401" s="319" t="s">
        <v>1113</v>
      </c>
      <c r="B401" s="320" t="s">
        <v>1114</v>
      </c>
      <c r="C401" s="319" t="s">
        <v>15</v>
      </c>
      <c r="D401" s="321" t="str">
        <f>IFERROR(ROUND(AVERAGEIFS('PRECIOS VICTOR'!$D:$D,'PRECIOS VICTOR'!$A:$A,$A401),0),"")</f>
        <v/>
      </c>
    </row>
    <row r="402" spans="1:4" x14ac:dyDescent="0.2">
      <c r="A402" s="319" t="s">
        <v>1515</v>
      </c>
      <c r="B402" s="320" t="s">
        <v>1516</v>
      </c>
      <c r="C402" s="319" t="s">
        <v>1007</v>
      </c>
      <c r="D402" s="321">
        <f>IFERROR(ROUND(AVERAGEIFS('PRECIOS VICTOR'!$D:$D,'PRECIOS VICTOR'!$A:$A,$A402),0),"")</f>
        <v>800</v>
      </c>
    </row>
    <row r="403" spans="1:4" x14ac:dyDescent="0.2">
      <c r="A403" s="319" t="s">
        <v>1517</v>
      </c>
      <c r="B403" s="320" t="s">
        <v>1518</v>
      </c>
      <c r="C403" s="319" t="s">
        <v>15</v>
      </c>
      <c r="D403" s="321">
        <f>IFERROR(ROUND(AVERAGEIFS('PRECIOS VICTOR'!$D:$D,'PRECIOS VICTOR'!$A:$A,$A403),0),"")</f>
        <v>2940</v>
      </c>
    </row>
    <row r="404" spans="1:4" x14ac:dyDescent="0.2">
      <c r="A404" s="319" t="s">
        <v>1519</v>
      </c>
      <c r="B404" s="320" t="s">
        <v>1520</v>
      </c>
      <c r="C404" s="319" t="s">
        <v>15</v>
      </c>
      <c r="D404" s="321" t="str">
        <f>IFERROR(ROUND(AVERAGEIFS('PRECIOS VICTOR'!$D:$D,'PRECIOS VICTOR'!$A:$A,$A404),0),"")</f>
        <v/>
      </c>
    </row>
    <row r="405" spans="1:4" x14ac:dyDescent="0.2">
      <c r="A405" s="319" t="s">
        <v>1521</v>
      </c>
      <c r="B405" s="320" t="s">
        <v>1522</v>
      </c>
      <c r="C405" s="319" t="s">
        <v>15</v>
      </c>
      <c r="D405" s="321" t="str">
        <f>IFERROR(ROUND(AVERAGEIFS('PRECIOS VICTOR'!$D:$D,'PRECIOS VICTOR'!$A:$A,$A405),0),"")</f>
        <v/>
      </c>
    </row>
    <row r="406" spans="1:4" x14ac:dyDescent="0.2">
      <c r="A406" s="319" t="s">
        <v>876</v>
      </c>
      <c r="B406" s="320" t="s">
        <v>448</v>
      </c>
      <c r="C406" s="319" t="s">
        <v>973</v>
      </c>
      <c r="D406" s="321" t="str">
        <f>IFERROR(ROUND(AVERAGEIFS('PRECIOS VICTOR'!$D:$D,'PRECIOS VICTOR'!$A:$A,$A406),0),"")</f>
        <v/>
      </c>
    </row>
    <row r="407" spans="1:4" x14ac:dyDescent="0.2">
      <c r="A407" s="319" t="s">
        <v>765</v>
      </c>
      <c r="B407" s="320" t="s">
        <v>498</v>
      </c>
      <c r="C407" s="319" t="s">
        <v>111</v>
      </c>
      <c r="D407" s="321">
        <f>IFERROR(ROUND(AVERAGEIFS('PRECIOS VICTOR'!$D:$D,'PRECIOS VICTOR'!$A:$A,$A407),0),"")</f>
        <v>233</v>
      </c>
    </row>
    <row r="408" spans="1:4" x14ac:dyDescent="0.2">
      <c r="A408" s="319" t="s">
        <v>854</v>
      </c>
      <c r="B408" s="320" t="s">
        <v>1116</v>
      </c>
      <c r="C408" s="319" t="s">
        <v>1007</v>
      </c>
      <c r="D408" s="321">
        <f>IFERROR(ROUND(AVERAGEIFS('PRECIOS VICTOR'!$D:$D,'PRECIOS VICTOR'!$A:$A,$A408),0),"")</f>
        <v>4559</v>
      </c>
    </row>
    <row r="409" spans="1:4" x14ac:dyDescent="0.2">
      <c r="A409" s="319" t="s">
        <v>1117</v>
      </c>
      <c r="B409" s="320" t="s">
        <v>1118</v>
      </c>
      <c r="C409" s="319" t="s">
        <v>111</v>
      </c>
      <c r="D409" s="321" t="str">
        <f>IFERROR(ROUND(AVERAGEIFS('PRECIOS VICTOR'!$D:$D,'PRECIOS VICTOR'!$A:$A,$A409),0),"")</f>
        <v/>
      </c>
    </row>
    <row r="410" spans="1:4" x14ac:dyDescent="0.2">
      <c r="A410" s="319" t="s">
        <v>1523</v>
      </c>
      <c r="B410" s="320" t="s">
        <v>1524</v>
      </c>
      <c r="C410" s="319" t="s">
        <v>111</v>
      </c>
      <c r="D410" s="321" t="str">
        <f>IFERROR(ROUND(AVERAGEIFS('PRECIOS VICTOR'!$D:$D,'PRECIOS VICTOR'!$A:$A,$A410),0),"")</f>
        <v/>
      </c>
    </row>
    <row r="411" spans="1:4" x14ac:dyDescent="0.2">
      <c r="A411" s="319" t="s">
        <v>1525</v>
      </c>
      <c r="B411" s="320" t="s">
        <v>1526</v>
      </c>
      <c r="C411" s="319" t="s">
        <v>973</v>
      </c>
      <c r="D411" s="321" t="str">
        <f>IFERROR(ROUND(AVERAGEIFS('PRECIOS VICTOR'!$D:$D,'PRECIOS VICTOR'!$A:$A,$A411),0),"")</f>
        <v/>
      </c>
    </row>
    <row r="412" spans="1:4" x14ac:dyDescent="0.2">
      <c r="A412" s="319" t="s">
        <v>1121</v>
      </c>
      <c r="B412" s="320" t="s">
        <v>1122</v>
      </c>
      <c r="C412" s="319" t="s">
        <v>15</v>
      </c>
      <c r="D412" s="321">
        <f>IFERROR(ROUND(AVERAGEIFS('PRECIOS VICTOR'!$D:$D,'PRECIOS VICTOR'!$A:$A,$A412),0),"")</f>
        <v>1350</v>
      </c>
    </row>
    <row r="413" spans="1:4" x14ac:dyDescent="0.2">
      <c r="A413" s="319" t="s">
        <v>1527</v>
      </c>
      <c r="B413" s="320" t="s">
        <v>1528</v>
      </c>
      <c r="C413" s="319" t="s">
        <v>15</v>
      </c>
      <c r="D413" s="321" t="str">
        <f>IFERROR(ROUND(AVERAGEIFS('PRECIOS VICTOR'!$D:$D,'PRECIOS VICTOR'!$A:$A,$A413),0),"")</f>
        <v/>
      </c>
    </row>
    <row r="414" spans="1:4" x14ac:dyDescent="0.2">
      <c r="A414" s="319" t="s">
        <v>1529</v>
      </c>
      <c r="B414" s="320" t="s">
        <v>1530</v>
      </c>
      <c r="C414" s="319" t="s">
        <v>15</v>
      </c>
      <c r="D414" s="321" t="str">
        <f>IFERROR(ROUND(AVERAGEIFS('PRECIOS VICTOR'!$D:$D,'PRECIOS VICTOR'!$A:$A,$A414),0),"")</f>
        <v/>
      </c>
    </row>
    <row r="415" spans="1:4" x14ac:dyDescent="0.2">
      <c r="A415" s="319" t="s">
        <v>1531</v>
      </c>
      <c r="B415" s="320" t="s">
        <v>1532</v>
      </c>
      <c r="C415" s="319" t="s">
        <v>15</v>
      </c>
      <c r="D415" s="321" t="str">
        <f>IFERROR(ROUND(AVERAGEIFS('PRECIOS VICTOR'!$D:$D,'PRECIOS VICTOR'!$A:$A,$A415),0),"")</f>
        <v/>
      </c>
    </row>
    <row r="416" spans="1:4" x14ac:dyDescent="0.2">
      <c r="A416" s="319" t="s">
        <v>1125</v>
      </c>
      <c r="B416" s="320" t="s">
        <v>395</v>
      </c>
      <c r="C416" s="319" t="s">
        <v>906</v>
      </c>
      <c r="D416" s="321">
        <f>IFERROR(ROUND(AVERAGEIFS('PRECIOS VICTOR'!$D:$D,'PRECIOS VICTOR'!$A:$A,$A416),0),"")</f>
        <v>700</v>
      </c>
    </row>
    <row r="417" spans="1:4" x14ac:dyDescent="0.2">
      <c r="A417" s="319" t="s">
        <v>1126</v>
      </c>
      <c r="B417" s="320" t="s">
        <v>484</v>
      </c>
      <c r="C417" s="319" t="s">
        <v>111</v>
      </c>
      <c r="D417" s="321">
        <f>IFERROR(ROUND(AVERAGEIFS('PRECIOS VICTOR'!$D:$D,'PRECIOS VICTOR'!$A:$A,$A417),0),"")</f>
        <v>1284</v>
      </c>
    </row>
    <row r="418" spans="1:4" x14ac:dyDescent="0.2">
      <c r="A418" s="319" t="s">
        <v>1533</v>
      </c>
      <c r="B418" s="320" t="s">
        <v>1534</v>
      </c>
      <c r="C418" s="319" t="s">
        <v>956</v>
      </c>
      <c r="D418" s="321" t="str">
        <f>IFERROR(ROUND(AVERAGEIFS('PRECIOS VICTOR'!$D:$D,'PRECIOS VICTOR'!$A:$A,$A418),0),"")</f>
        <v/>
      </c>
    </row>
    <row r="419" spans="1:4" x14ac:dyDescent="0.2">
      <c r="A419" s="319" t="s">
        <v>1127</v>
      </c>
      <c r="B419" s="320" t="s">
        <v>1128</v>
      </c>
      <c r="C419" s="319" t="s">
        <v>111</v>
      </c>
      <c r="D419" s="321">
        <f>IFERROR(ROUND(AVERAGEIFS('PRECIOS VICTOR'!$D:$D,'PRECIOS VICTOR'!$A:$A,$A419),0),"")</f>
        <v>1389</v>
      </c>
    </row>
    <row r="420" spans="1:4" x14ac:dyDescent="0.2">
      <c r="A420" s="319" t="s">
        <v>771</v>
      </c>
      <c r="B420" s="320" t="s">
        <v>465</v>
      </c>
      <c r="C420" s="319" t="s">
        <v>973</v>
      </c>
      <c r="D420" s="321">
        <f>IFERROR(ROUND(AVERAGEIFS('PRECIOS VICTOR'!$D:$D,'PRECIOS VICTOR'!$A:$A,$A420),0),"")</f>
        <v>256</v>
      </c>
    </row>
    <row r="421" spans="1:4" x14ac:dyDescent="0.2">
      <c r="A421" s="319" t="s">
        <v>1535</v>
      </c>
      <c r="B421" s="320" t="s">
        <v>184</v>
      </c>
      <c r="C421" s="319" t="s">
        <v>906</v>
      </c>
      <c r="D421" s="321">
        <f>IFERROR(ROUND(AVERAGEIFS('PRECIOS VICTOR'!$D:$D,'PRECIOS VICTOR'!$A:$A,$A421),0),"")</f>
        <v>3332</v>
      </c>
    </row>
    <row r="422" spans="1:4" x14ac:dyDescent="0.2">
      <c r="A422" s="319" t="s">
        <v>1129</v>
      </c>
      <c r="B422" s="320" t="s">
        <v>1130</v>
      </c>
      <c r="C422" s="319" t="s">
        <v>906</v>
      </c>
      <c r="D422" s="321">
        <f>IFERROR(ROUND(AVERAGEIFS('PRECIOS VICTOR'!$D:$D,'PRECIOS VICTOR'!$A:$A,$A422),0),"")</f>
        <v>3094</v>
      </c>
    </row>
    <row r="423" spans="1:4" x14ac:dyDescent="0.2">
      <c r="A423" s="319" t="s">
        <v>811</v>
      </c>
      <c r="B423" s="320" t="s">
        <v>499</v>
      </c>
      <c r="C423" s="319" t="s">
        <v>906</v>
      </c>
      <c r="D423" s="321" t="str">
        <f>IFERROR(ROUND(AVERAGEIFS('PRECIOS VICTOR'!$D:$D,'PRECIOS VICTOR'!$A:$A,$A423),0),"")</f>
        <v/>
      </c>
    </row>
    <row r="424" spans="1:4" x14ac:dyDescent="0.2">
      <c r="A424" s="319" t="s">
        <v>1536</v>
      </c>
      <c r="B424" s="320" t="s">
        <v>1537</v>
      </c>
      <c r="C424" s="319" t="s">
        <v>111</v>
      </c>
      <c r="D424" s="321" t="str">
        <f>IFERROR(ROUND(AVERAGEIFS('PRECIOS VICTOR'!$D:$D,'PRECIOS VICTOR'!$A:$A,$A424),0),"")</f>
        <v/>
      </c>
    </row>
    <row r="425" spans="1:4" x14ac:dyDescent="0.2">
      <c r="A425" s="319" t="s">
        <v>697</v>
      </c>
      <c r="B425" s="320" t="s">
        <v>449</v>
      </c>
      <c r="C425" s="319" t="s">
        <v>111</v>
      </c>
      <c r="D425" s="321">
        <f>IFERROR(ROUND(AVERAGEIFS('PRECIOS VICTOR'!$D:$D,'PRECIOS VICTOR'!$A:$A,$A425),0),"")</f>
        <v>890</v>
      </c>
    </row>
    <row r="426" spans="1:4" x14ac:dyDescent="0.2">
      <c r="A426" s="319" t="s">
        <v>1538</v>
      </c>
      <c r="B426" s="320" t="s">
        <v>1539</v>
      </c>
      <c r="C426" s="319" t="s">
        <v>111</v>
      </c>
      <c r="D426" s="321" t="str">
        <f>IFERROR(ROUND(AVERAGEIFS('PRECIOS VICTOR'!$D:$D,'PRECIOS VICTOR'!$A:$A,$A426),0),"")</f>
        <v/>
      </c>
    </row>
    <row r="427" spans="1:4" x14ac:dyDescent="0.2">
      <c r="A427" s="319" t="s">
        <v>781</v>
      </c>
      <c r="B427" s="320" t="s">
        <v>1540</v>
      </c>
      <c r="C427" s="319" t="s">
        <v>111</v>
      </c>
      <c r="D427" s="321">
        <f>IFERROR(ROUND(AVERAGEIFS('PRECIOS VICTOR'!$D:$D,'PRECIOS VICTOR'!$A:$A,$A427),0),"")</f>
        <v>483</v>
      </c>
    </row>
    <row r="428" spans="1:4" x14ac:dyDescent="0.2">
      <c r="A428" s="319" t="s">
        <v>776</v>
      </c>
      <c r="B428" s="320" t="s">
        <v>451</v>
      </c>
      <c r="C428" s="319" t="s">
        <v>111</v>
      </c>
      <c r="D428" s="321" t="str">
        <f>IFERROR(ROUND(AVERAGEIFS('PRECIOS VICTOR'!$D:$D,'PRECIOS VICTOR'!$A:$A,$A428),0),"")</f>
        <v/>
      </c>
    </row>
    <row r="429" spans="1:4" x14ac:dyDescent="0.2">
      <c r="A429" s="319" t="s">
        <v>1541</v>
      </c>
      <c r="B429" s="320" t="s">
        <v>1542</v>
      </c>
      <c r="C429" s="319" t="s">
        <v>111</v>
      </c>
      <c r="D429" s="321" t="str">
        <f>IFERROR(ROUND(AVERAGEIFS('PRECIOS VICTOR'!$D:$D,'PRECIOS VICTOR'!$A:$A,$A429),0),"")</f>
        <v/>
      </c>
    </row>
    <row r="430" spans="1:4" x14ac:dyDescent="0.2">
      <c r="A430" s="319" t="s">
        <v>1543</v>
      </c>
      <c r="B430" s="320" t="s">
        <v>1544</v>
      </c>
      <c r="C430" s="319" t="s">
        <v>111</v>
      </c>
      <c r="D430" s="321" t="str">
        <f>IFERROR(ROUND(AVERAGEIFS('PRECIOS VICTOR'!$D:$D,'PRECIOS VICTOR'!$A:$A,$A430),0),"")</f>
        <v/>
      </c>
    </row>
    <row r="431" spans="1:4" x14ac:dyDescent="0.2">
      <c r="A431" s="319" t="s">
        <v>1545</v>
      </c>
      <c r="B431" s="320" t="s">
        <v>1546</v>
      </c>
      <c r="C431" s="319" t="s">
        <v>111</v>
      </c>
      <c r="D431" s="321" t="str">
        <f>IFERROR(ROUND(AVERAGEIFS('PRECIOS VICTOR'!$D:$D,'PRECIOS VICTOR'!$A:$A,$A431),0),"")</f>
        <v/>
      </c>
    </row>
    <row r="432" spans="1:4" x14ac:dyDescent="0.2">
      <c r="A432" s="319" t="s">
        <v>709</v>
      </c>
      <c r="B432" s="320" t="s">
        <v>466</v>
      </c>
      <c r="C432" s="319" t="s">
        <v>111</v>
      </c>
      <c r="D432" s="321">
        <f>IFERROR(ROUND(AVERAGEIFS('PRECIOS VICTOR'!$D:$D,'PRECIOS VICTOR'!$A:$A,$A432),0),"")</f>
        <v>536</v>
      </c>
    </row>
    <row r="433" spans="1:4" x14ac:dyDescent="0.2">
      <c r="A433" s="319" t="s">
        <v>1547</v>
      </c>
      <c r="B433" s="320" t="s">
        <v>1548</v>
      </c>
      <c r="C433" s="319" t="s">
        <v>906</v>
      </c>
      <c r="D433" s="321" t="str">
        <f>IFERROR(ROUND(AVERAGEIFS('PRECIOS VICTOR'!$D:$D,'PRECIOS VICTOR'!$A:$A,$A433),0),"")</f>
        <v/>
      </c>
    </row>
    <row r="434" spans="1:4" x14ac:dyDescent="0.2">
      <c r="A434" s="319" t="s">
        <v>1549</v>
      </c>
      <c r="B434" s="320" t="s">
        <v>1550</v>
      </c>
      <c r="C434" s="319" t="s">
        <v>906</v>
      </c>
      <c r="D434" s="321" t="str">
        <f>IFERROR(ROUND(AVERAGEIFS('PRECIOS VICTOR'!$D:$D,'PRECIOS VICTOR'!$A:$A,$A434),0),"")</f>
        <v/>
      </c>
    </row>
    <row r="435" spans="1:4" x14ac:dyDescent="0.2">
      <c r="A435" s="319" t="s">
        <v>1551</v>
      </c>
      <c r="B435" s="320" t="s">
        <v>1552</v>
      </c>
      <c r="C435" s="319" t="s">
        <v>906</v>
      </c>
      <c r="D435" s="321" t="str">
        <f>IFERROR(ROUND(AVERAGEIFS('PRECIOS VICTOR'!$D:$D,'PRECIOS VICTOR'!$A:$A,$A435),0),"")</f>
        <v/>
      </c>
    </row>
    <row r="436" spans="1:4" x14ac:dyDescent="0.2">
      <c r="A436" s="319" t="s">
        <v>1553</v>
      </c>
      <c r="B436" s="320" t="s">
        <v>1554</v>
      </c>
      <c r="C436" s="319" t="s">
        <v>111</v>
      </c>
      <c r="D436" s="321" t="str">
        <f>IFERROR(ROUND(AVERAGEIFS('PRECIOS VICTOR'!$D:$D,'PRECIOS VICTOR'!$A:$A,$A436),0),"")</f>
        <v/>
      </c>
    </row>
    <row r="437" spans="1:4" x14ac:dyDescent="0.2">
      <c r="A437" s="319" t="s">
        <v>1555</v>
      </c>
      <c r="B437" s="320" t="s">
        <v>1556</v>
      </c>
      <c r="C437" s="319" t="s">
        <v>15</v>
      </c>
      <c r="D437" s="321" t="str">
        <f>IFERROR(ROUND(AVERAGEIFS('PRECIOS VICTOR'!$D:$D,'PRECIOS VICTOR'!$A:$A,$A437),0),"")</f>
        <v/>
      </c>
    </row>
    <row r="438" spans="1:4" x14ac:dyDescent="0.2">
      <c r="A438" s="319" t="s">
        <v>1557</v>
      </c>
      <c r="B438" s="320" t="s">
        <v>1558</v>
      </c>
      <c r="C438" s="319" t="s">
        <v>111</v>
      </c>
      <c r="D438" s="321" t="str">
        <f>IFERROR(ROUND(AVERAGEIFS('PRECIOS VICTOR'!$D:$D,'PRECIOS VICTOR'!$A:$A,$A438),0),"")</f>
        <v/>
      </c>
    </row>
    <row r="439" spans="1:4" x14ac:dyDescent="0.2">
      <c r="A439" s="319" t="s">
        <v>657</v>
      </c>
      <c r="B439" s="320" t="s">
        <v>503</v>
      </c>
      <c r="C439" s="319" t="s">
        <v>947</v>
      </c>
      <c r="D439" s="321">
        <f>IFERROR(ROUND(AVERAGEIFS('PRECIOS VICTOR'!$D:$D,'PRECIOS VICTOR'!$A:$A,$A439),0),"")</f>
        <v>5952</v>
      </c>
    </row>
    <row r="440" spans="1:4" x14ac:dyDescent="0.2">
      <c r="A440" s="319" t="s">
        <v>1131</v>
      </c>
      <c r="B440" s="320" t="s">
        <v>1132</v>
      </c>
      <c r="C440" s="319" t="s">
        <v>15</v>
      </c>
      <c r="D440" s="321">
        <f>IFERROR(ROUND(AVERAGEIFS('PRECIOS VICTOR'!$D:$D,'PRECIOS VICTOR'!$A:$A,$A440),0),"")</f>
        <v>3117</v>
      </c>
    </row>
    <row r="441" spans="1:4" x14ac:dyDescent="0.2">
      <c r="A441" s="319" t="s">
        <v>1559</v>
      </c>
      <c r="B441" s="320" t="s">
        <v>14</v>
      </c>
      <c r="C441" s="319" t="s">
        <v>15</v>
      </c>
      <c r="D441" s="321" t="str">
        <f>IFERROR(ROUND(AVERAGEIFS('PRECIOS VICTOR'!$D:$D,'PRECIOS VICTOR'!$A:$A,$A441),0),"")</f>
        <v/>
      </c>
    </row>
    <row r="442" spans="1:4" x14ac:dyDescent="0.2">
      <c r="A442" s="319" t="s">
        <v>1560</v>
      </c>
      <c r="B442" s="320" t="s">
        <v>1561</v>
      </c>
      <c r="C442" s="319" t="s">
        <v>111</v>
      </c>
      <c r="D442" s="321" t="str">
        <f>IFERROR(ROUND(AVERAGEIFS('PRECIOS VICTOR'!$D:$D,'PRECIOS VICTOR'!$A:$A,$A442),0),"")</f>
        <v/>
      </c>
    </row>
    <row r="443" spans="1:4" x14ac:dyDescent="0.2">
      <c r="A443" s="319" t="s">
        <v>1562</v>
      </c>
      <c r="B443" s="320" t="s">
        <v>1563</v>
      </c>
      <c r="C443" s="319" t="s">
        <v>111</v>
      </c>
      <c r="D443" s="321" t="str">
        <f>IFERROR(ROUND(AVERAGEIFS('PRECIOS VICTOR'!$D:$D,'PRECIOS VICTOR'!$A:$A,$A443),0),"")</f>
        <v/>
      </c>
    </row>
    <row r="444" spans="1:4" x14ac:dyDescent="0.2">
      <c r="A444" s="319" t="s">
        <v>1133</v>
      </c>
      <c r="B444" s="320" t="s">
        <v>1134</v>
      </c>
      <c r="C444" s="319" t="s">
        <v>111</v>
      </c>
      <c r="D444" s="321" t="str">
        <f>IFERROR(ROUND(AVERAGEIFS('PRECIOS VICTOR'!$D:$D,'PRECIOS VICTOR'!$A:$A,$A444),0),"")</f>
        <v/>
      </c>
    </row>
    <row r="445" spans="1:4" x14ac:dyDescent="0.2">
      <c r="A445" s="319" t="s">
        <v>1564</v>
      </c>
      <c r="B445" s="320" t="s">
        <v>1565</v>
      </c>
      <c r="C445" s="319" t="s">
        <v>15</v>
      </c>
      <c r="D445" s="321" t="str">
        <f>IFERROR(ROUND(AVERAGEIFS('PRECIOS VICTOR'!$D:$D,'PRECIOS VICTOR'!$A:$A,$A445),0),"")</f>
        <v/>
      </c>
    </row>
    <row r="446" spans="1:4" x14ac:dyDescent="0.2">
      <c r="A446" s="319" t="s">
        <v>1135</v>
      </c>
      <c r="B446" s="320" t="s">
        <v>1136</v>
      </c>
      <c r="C446" s="319" t="s">
        <v>111</v>
      </c>
      <c r="D446" s="321" t="str">
        <f>IFERROR(ROUND(AVERAGEIFS('PRECIOS VICTOR'!$D:$D,'PRECIOS VICTOR'!$A:$A,$A446),0),"")</f>
        <v/>
      </c>
    </row>
    <row r="447" spans="1:4" x14ac:dyDescent="0.2">
      <c r="A447" s="319" t="s">
        <v>1566</v>
      </c>
      <c r="B447" s="320" t="s">
        <v>1567</v>
      </c>
      <c r="C447" s="319" t="s">
        <v>956</v>
      </c>
      <c r="D447" s="321" t="str">
        <f>IFERROR(ROUND(AVERAGEIFS('PRECIOS VICTOR'!$D:$D,'PRECIOS VICTOR'!$A:$A,$A447),0),"")</f>
        <v/>
      </c>
    </row>
    <row r="448" spans="1:4" x14ac:dyDescent="0.2">
      <c r="A448" s="319" t="s">
        <v>885</v>
      </c>
      <c r="B448" s="320" t="s">
        <v>467</v>
      </c>
      <c r="C448" s="319" t="s">
        <v>111</v>
      </c>
      <c r="D448" s="321">
        <f>IFERROR(ROUND(AVERAGEIFS('PRECIOS VICTOR'!$D:$D,'PRECIOS VICTOR'!$A:$A,$A448),0),"")</f>
        <v>230</v>
      </c>
    </row>
    <row r="449" spans="1:4" x14ac:dyDescent="0.2">
      <c r="A449" s="319" t="s">
        <v>1568</v>
      </c>
      <c r="B449" s="320" t="s">
        <v>1569</v>
      </c>
      <c r="C449" s="319" t="s">
        <v>111</v>
      </c>
      <c r="D449" s="321" t="str">
        <f>IFERROR(ROUND(AVERAGEIFS('PRECIOS VICTOR'!$D:$D,'PRECIOS VICTOR'!$A:$A,$A449),0),"")</f>
        <v/>
      </c>
    </row>
    <row r="450" spans="1:4" x14ac:dyDescent="0.2">
      <c r="A450" s="319" t="s">
        <v>886</v>
      </c>
      <c r="B450" s="320" t="s">
        <v>166</v>
      </c>
      <c r="C450" s="319" t="s">
        <v>111</v>
      </c>
      <c r="D450" s="321" t="str">
        <f>IFERROR(ROUND(AVERAGEIFS('PRECIOS VICTOR'!$D:$D,'PRECIOS VICTOR'!$A:$A,$A450),0),"")</f>
        <v/>
      </c>
    </row>
    <row r="451" spans="1:4" x14ac:dyDescent="0.2">
      <c r="A451" s="319" t="s">
        <v>1570</v>
      </c>
      <c r="B451" s="320" t="s">
        <v>1571</v>
      </c>
      <c r="C451" s="319" t="s">
        <v>111</v>
      </c>
      <c r="D451" s="321" t="str">
        <f>IFERROR(ROUND(AVERAGEIFS('PRECIOS VICTOR'!$D:$D,'PRECIOS VICTOR'!$A:$A,$A451),0),"")</f>
        <v/>
      </c>
    </row>
    <row r="452" spans="1:4" x14ac:dyDescent="0.2">
      <c r="A452" s="319" t="s">
        <v>1572</v>
      </c>
      <c r="B452" s="320" t="s">
        <v>241</v>
      </c>
      <c r="C452" s="319" t="s">
        <v>15</v>
      </c>
      <c r="D452" s="321" t="str">
        <f>IFERROR(ROUND(AVERAGEIFS('PRECIOS VICTOR'!$D:$D,'PRECIOS VICTOR'!$A:$A,$A452),0),"")</f>
        <v/>
      </c>
    </row>
    <row r="453" spans="1:4" x14ac:dyDescent="0.2">
      <c r="A453" s="319" t="s">
        <v>1573</v>
      </c>
      <c r="B453" s="320" t="s">
        <v>1574</v>
      </c>
      <c r="C453" s="319" t="s">
        <v>111</v>
      </c>
      <c r="D453" s="321" t="str">
        <f>IFERROR(ROUND(AVERAGEIFS('PRECIOS VICTOR'!$D:$D,'PRECIOS VICTOR'!$A:$A,$A453),0),"")</f>
        <v/>
      </c>
    </row>
    <row r="454" spans="1:4" x14ac:dyDescent="0.2">
      <c r="A454" s="319" t="s">
        <v>1575</v>
      </c>
      <c r="B454" s="320" t="s">
        <v>1576</v>
      </c>
      <c r="C454" s="319" t="s">
        <v>15</v>
      </c>
      <c r="D454" s="321" t="str">
        <f>IFERROR(ROUND(AVERAGEIFS('PRECIOS VICTOR'!$D:$D,'PRECIOS VICTOR'!$A:$A,$A454),0),"")</f>
        <v/>
      </c>
    </row>
    <row r="455" spans="1:4" x14ac:dyDescent="0.2">
      <c r="A455" s="319" t="s">
        <v>745</v>
      </c>
      <c r="B455" s="320" t="s">
        <v>539</v>
      </c>
      <c r="C455" s="319" t="s">
        <v>906</v>
      </c>
      <c r="D455" s="321" t="str">
        <f>IFERROR(ROUND(AVERAGEIFS('PRECIOS VICTOR'!$D:$D,'PRECIOS VICTOR'!$A:$A,$A455),0),"")</f>
        <v/>
      </c>
    </row>
    <row r="456" spans="1:4" x14ac:dyDescent="0.2">
      <c r="A456" s="319" t="s">
        <v>1577</v>
      </c>
      <c r="B456" s="320" t="s">
        <v>1578</v>
      </c>
      <c r="C456" s="319" t="s">
        <v>906</v>
      </c>
      <c r="D456" s="321" t="str">
        <f>IFERROR(ROUND(AVERAGEIFS('PRECIOS VICTOR'!$D:$D,'PRECIOS VICTOR'!$A:$A,$A456),0),"")</f>
        <v/>
      </c>
    </row>
    <row r="457" spans="1:4" x14ac:dyDescent="0.2">
      <c r="A457" s="319" t="s">
        <v>846</v>
      </c>
      <c r="B457" s="320" t="s">
        <v>652</v>
      </c>
      <c r="C457" s="319" t="s">
        <v>15</v>
      </c>
      <c r="D457" s="321">
        <f>IFERROR(ROUND(AVERAGEIFS('PRECIOS VICTOR'!$D:$D,'PRECIOS VICTOR'!$A:$A,$A457),0),"")</f>
        <v>10056</v>
      </c>
    </row>
    <row r="458" spans="1:4" x14ac:dyDescent="0.2">
      <c r="A458" s="319" t="s">
        <v>1579</v>
      </c>
      <c r="B458" s="320" t="s">
        <v>495</v>
      </c>
      <c r="C458" s="319" t="s">
        <v>15</v>
      </c>
      <c r="D458" s="321" t="str">
        <f>IFERROR(ROUND(AVERAGEIFS('PRECIOS VICTOR'!$D:$D,'PRECIOS VICTOR'!$A:$A,$A458),0),"")</f>
        <v/>
      </c>
    </row>
    <row r="459" spans="1:4" x14ac:dyDescent="0.2">
      <c r="A459" s="319" t="s">
        <v>1580</v>
      </c>
      <c r="B459" s="320" t="s">
        <v>1581</v>
      </c>
      <c r="C459" s="319" t="s">
        <v>15</v>
      </c>
      <c r="D459" s="321" t="str">
        <f>IFERROR(ROUND(AVERAGEIFS('PRECIOS VICTOR'!$D:$D,'PRECIOS VICTOR'!$A:$A,$A459),0),"")</f>
        <v/>
      </c>
    </row>
    <row r="460" spans="1:4" x14ac:dyDescent="0.2">
      <c r="A460" s="319" t="s">
        <v>1582</v>
      </c>
      <c r="B460" s="320" t="s">
        <v>1565</v>
      </c>
      <c r="C460" s="319" t="s">
        <v>111</v>
      </c>
      <c r="D460" s="321" t="str">
        <f>IFERROR(ROUND(AVERAGEIFS('PRECIOS VICTOR'!$D:$D,'PRECIOS VICTOR'!$A:$A,$A460),0),"")</f>
        <v/>
      </c>
    </row>
    <row r="461" spans="1:4" x14ac:dyDescent="0.2">
      <c r="A461" s="319" t="s">
        <v>1141</v>
      </c>
      <c r="B461" s="320" t="s">
        <v>1142</v>
      </c>
      <c r="C461" s="319" t="s">
        <v>1007</v>
      </c>
      <c r="D461" s="321" t="str">
        <f>IFERROR(ROUND(AVERAGEIFS('PRECIOS VICTOR'!$D:$D,'PRECIOS VICTOR'!$A:$A,$A461),0),"")</f>
        <v/>
      </c>
    </row>
    <row r="462" spans="1:4" x14ac:dyDescent="0.2">
      <c r="A462" s="319" t="s">
        <v>1143</v>
      </c>
      <c r="B462" s="320" t="s">
        <v>1144</v>
      </c>
      <c r="C462" s="319" t="s">
        <v>111</v>
      </c>
      <c r="D462" s="321" t="str">
        <f>IFERROR(ROUND(AVERAGEIFS('PRECIOS VICTOR'!$D:$D,'PRECIOS VICTOR'!$A:$A,$A462),0),"")</f>
        <v/>
      </c>
    </row>
    <row r="463" spans="1:4" x14ac:dyDescent="0.2">
      <c r="A463" s="319" t="s">
        <v>1145</v>
      </c>
      <c r="B463" s="320" t="s">
        <v>582</v>
      </c>
      <c r="C463" s="319" t="s">
        <v>942</v>
      </c>
      <c r="D463" s="321">
        <f>IFERROR(ROUND(AVERAGEIFS('PRECIOS VICTOR'!$D:$D,'PRECIOS VICTOR'!$A:$A,$A463),0),"")</f>
        <v>1150</v>
      </c>
    </row>
    <row r="464" spans="1:4" x14ac:dyDescent="0.2">
      <c r="A464" s="319" t="s">
        <v>1583</v>
      </c>
      <c r="B464" s="320" t="s">
        <v>1584</v>
      </c>
      <c r="C464" s="319" t="s">
        <v>15</v>
      </c>
      <c r="D464" s="321" t="str">
        <f>IFERROR(ROUND(AVERAGEIFS('PRECIOS VICTOR'!$D:$D,'PRECIOS VICTOR'!$A:$A,$A464),0),"")</f>
        <v/>
      </c>
    </row>
    <row r="465" spans="1:4" x14ac:dyDescent="0.2">
      <c r="A465" s="319" t="s">
        <v>1585</v>
      </c>
      <c r="B465" s="320" t="s">
        <v>1586</v>
      </c>
      <c r="C465" s="319" t="s">
        <v>15</v>
      </c>
      <c r="D465" s="321" t="str">
        <f>IFERROR(ROUND(AVERAGEIFS('PRECIOS VICTOR'!$D:$D,'PRECIOS VICTOR'!$A:$A,$A465),0),"")</f>
        <v/>
      </c>
    </row>
    <row r="466" spans="1:4" x14ac:dyDescent="0.2">
      <c r="A466" s="319" t="s">
        <v>712</v>
      </c>
      <c r="B466" s="320" t="s">
        <v>1587</v>
      </c>
      <c r="C466" s="319" t="s">
        <v>15</v>
      </c>
      <c r="D466" s="321" t="str">
        <f>IFERROR(ROUND(AVERAGEIFS('PRECIOS VICTOR'!$D:$D,'PRECIOS VICTOR'!$A:$A,$A466),0),"")</f>
        <v/>
      </c>
    </row>
    <row r="467" spans="1:4" x14ac:dyDescent="0.2">
      <c r="A467" s="319" t="s">
        <v>1588</v>
      </c>
      <c r="B467" s="320" t="s">
        <v>1589</v>
      </c>
      <c r="C467" s="319" t="s">
        <v>956</v>
      </c>
      <c r="D467" s="321" t="str">
        <f>IFERROR(ROUND(AVERAGEIFS('PRECIOS VICTOR'!$D:$D,'PRECIOS VICTOR'!$A:$A,$A467),0),"")</f>
        <v/>
      </c>
    </row>
    <row r="468" spans="1:4" x14ac:dyDescent="0.2">
      <c r="A468" s="319" t="s">
        <v>759</v>
      </c>
      <c r="B468" s="320" t="s">
        <v>183</v>
      </c>
      <c r="C468" s="319" t="s">
        <v>906</v>
      </c>
      <c r="D468" s="321" t="str">
        <f>IFERROR(ROUND(AVERAGEIFS('PRECIOS VICTOR'!$D:$D,'PRECIOS VICTOR'!$A:$A,$A468),0),"")</f>
        <v/>
      </c>
    </row>
    <row r="469" spans="1:4" x14ac:dyDescent="0.2">
      <c r="A469" s="319" t="s">
        <v>1590</v>
      </c>
      <c r="B469" s="320" t="s">
        <v>1591</v>
      </c>
      <c r="C469" s="319" t="s">
        <v>906</v>
      </c>
      <c r="D469" s="321" t="str">
        <f>IFERROR(ROUND(AVERAGEIFS('PRECIOS VICTOR'!$D:$D,'PRECIOS VICTOR'!$A:$A,$A469),0),"")</f>
        <v/>
      </c>
    </row>
    <row r="470" spans="1:4" x14ac:dyDescent="0.2">
      <c r="A470" s="319" t="s">
        <v>702</v>
      </c>
      <c r="B470" s="320" t="s">
        <v>647</v>
      </c>
      <c r="C470" s="319" t="s">
        <v>15</v>
      </c>
      <c r="D470" s="321">
        <f>IFERROR(ROUND(AVERAGEIFS('PRECIOS VICTOR'!$D:$D,'PRECIOS VICTOR'!$A:$A,$A470),0),"")</f>
        <v>3694</v>
      </c>
    </row>
    <row r="471" spans="1:4" x14ac:dyDescent="0.2">
      <c r="A471" s="319" t="s">
        <v>1592</v>
      </c>
      <c r="B471" s="320" t="s">
        <v>1593</v>
      </c>
      <c r="C471" s="319" t="s">
        <v>111</v>
      </c>
      <c r="D471" s="321">
        <f>IFERROR(ROUND(AVERAGEIFS('PRECIOS VICTOR'!$D:$D,'PRECIOS VICTOR'!$A:$A,$A471),0),"")</f>
        <v>4522</v>
      </c>
    </row>
    <row r="472" spans="1:4" x14ac:dyDescent="0.2">
      <c r="A472" s="319" t="s">
        <v>1146</v>
      </c>
      <c r="B472" s="320" t="s">
        <v>1147</v>
      </c>
      <c r="C472" s="319" t="s">
        <v>15</v>
      </c>
      <c r="D472" s="321" t="str">
        <f>IFERROR(ROUND(AVERAGEIFS('PRECIOS VICTOR'!$D:$D,'PRECIOS VICTOR'!$A:$A,$A472),0),"")</f>
        <v/>
      </c>
    </row>
    <row r="473" spans="1:4" x14ac:dyDescent="0.2">
      <c r="A473" s="319" t="s">
        <v>804</v>
      </c>
      <c r="B473" s="320" t="s">
        <v>65</v>
      </c>
      <c r="C473" s="319" t="s">
        <v>15</v>
      </c>
      <c r="D473" s="321">
        <f>IFERROR(ROUND(AVERAGEIFS('PRECIOS VICTOR'!$D:$D,'PRECIOS VICTOR'!$A:$A,$A473),0),"")</f>
        <v>1295</v>
      </c>
    </row>
    <row r="474" spans="1:4" x14ac:dyDescent="0.2">
      <c r="A474" s="319" t="s">
        <v>1594</v>
      </c>
      <c r="B474" s="320" t="s">
        <v>1595</v>
      </c>
      <c r="C474" s="319" t="s">
        <v>111</v>
      </c>
      <c r="D474" s="321">
        <f>IFERROR(ROUND(AVERAGEIFS('PRECIOS VICTOR'!$D:$D,'PRECIOS VICTOR'!$A:$A,$A474),0),"")</f>
        <v>607</v>
      </c>
    </row>
    <row r="475" spans="1:4" x14ac:dyDescent="0.2">
      <c r="A475" s="319" t="s">
        <v>1596</v>
      </c>
      <c r="B475" s="320" t="s">
        <v>1597</v>
      </c>
      <c r="C475" s="319" t="s">
        <v>981</v>
      </c>
      <c r="D475" s="321" t="str">
        <f>IFERROR(ROUND(AVERAGEIFS('PRECIOS VICTOR'!$D:$D,'PRECIOS VICTOR'!$A:$A,$A475),0),"")</f>
        <v/>
      </c>
    </row>
    <row r="476" spans="1:4" x14ac:dyDescent="0.2">
      <c r="A476" s="319" t="s">
        <v>1148</v>
      </c>
      <c r="B476" s="320" t="s">
        <v>410</v>
      </c>
      <c r="C476" s="319" t="s">
        <v>15</v>
      </c>
      <c r="D476" s="321" t="str">
        <f>IFERROR(ROUND(AVERAGEIFS('PRECIOS VICTOR'!$D:$D,'PRECIOS VICTOR'!$A:$A,$A476),0),"")</f>
        <v/>
      </c>
    </row>
    <row r="477" spans="1:4" x14ac:dyDescent="0.2">
      <c r="A477" s="319" t="s">
        <v>1598</v>
      </c>
      <c r="B477" s="320" t="s">
        <v>28</v>
      </c>
      <c r="C477" s="319" t="s">
        <v>1007</v>
      </c>
      <c r="D477" s="321" t="str">
        <f>IFERROR(ROUND(AVERAGEIFS('PRECIOS VICTOR'!$D:$D,'PRECIOS VICTOR'!$A:$A,$A477),0),"")</f>
        <v/>
      </c>
    </row>
    <row r="478" spans="1:4" x14ac:dyDescent="0.2">
      <c r="A478" s="319" t="s">
        <v>1599</v>
      </c>
      <c r="B478" s="320" t="s">
        <v>1600</v>
      </c>
      <c r="C478" s="319" t="s">
        <v>15</v>
      </c>
      <c r="D478" s="321" t="str">
        <f>IFERROR(ROUND(AVERAGEIFS('PRECIOS VICTOR'!$D:$D,'PRECIOS VICTOR'!$A:$A,$A478),0),"")</f>
        <v/>
      </c>
    </row>
    <row r="479" spans="1:4" x14ac:dyDescent="0.2">
      <c r="A479" s="319" t="s">
        <v>1601</v>
      </c>
      <c r="B479" s="320" t="s">
        <v>1602</v>
      </c>
      <c r="C479" s="319" t="s">
        <v>942</v>
      </c>
      <c r="D479" s="321" t="str">
        <f>IFERROR(ROUND(AVERAGEIFS('PRECIOS VICTOR'!$D:$D,'PRECIOS VICTOR'!$A:$A,$A479),0),"")</f>
        <v/>
      </c>
    </row>
    <row r="480" spans="1:4" x14ac:dyDescent="0.2">
      <c r="A480" s="319" t="s">
        <v>1149</v>
      </c>
      <c r="B480" s="320" t="s">
        <v>1150</v>
      </c>
      <c r="C480" s="319" t="s">
        <v>111</v>
      </c>
      <c r="D480" s="321" t="str">
        <f>IFERROR(ROUND(AVERAGEIFS('PRECIOS VICTOR'!$D:$D,'PRECIOS VICTOR'!$A:$A,$A480),0),"")</f>
        <v/>
      </c>
    </row>
    <row r="481" spans="1:4" x14ac:dyDescent="0.2">
      <c r="A481" s="319" t="s">
        <v>1603</v>
      </c>
      <c r="B481" s="320" t="s">
        <v>1604</v>
      </c>
      <c r="C481" s="319" t="s">
        <v>111</v>
      </c>
      <c r="D481" s="321">
        <f>IFERROR(ROUND(AVERAGEIFS('PRECIOS VICTOR'!$D:$D,'PRECIOS VICTOR'!$A:$A,$A481),0),"")</f>
        <v>357</v>
      </c>
    </row>
    <row r="482" spans="1:4" x14ac:dyDescent="0.2">
      <c r="A482" s="319" t="s">
        <v>1605</v>
      </c>
      <c r="B482" s="320" t="s">
        <v>1606</v>
      </c>
      <c r="C482" s="319" t="s">
        <v>111</v>
      </c>
      <c r="D482" s="321" t="str">
        <f>IFERROR(ROUND(AVERAGEIFS('PRECIOS VICTOR'!$D:$D,'PRECIOS VICTOR'!$A:$A,$A482),0),"")</f>
        <v/>
      </c>
    </row>
    <row r="483" spans="1:4" x14ac:dyDescent="0.2">
      <c r="A483" s="319" t="s">
        <v>1151</v>
      </c>
      <c r="B483" s="320" t="s">
        <v>199</v>
      </c>
      <c r="C483" s="319" t="s">
        <v>202</v>
      </c>
      <c r="D483" s="321">
        <f>IFERROR(ROUND(AVERAGEIFS('PRECIOS VICTOR'!$D:$D,'PRECIOS VICTOR'!$A:$A,$A483),0),"")</f>
        <v>1677</v>
      </c>
    </row>
    <row r="484" spans="1:4" x14ac:dyDescent="0.2">
      <c r="A484" s="319" t="s">
        <v>1607</v>
      </c>
      <c r="B484" s="320" t="s">
        <v>1608</v>
      </c>
      <c r="C484" s="319" t="s">
        <v>111</v>
      </c>
      <c r="D484" s="321">
        <f>IFERROR(ROUND(AVERAGEIFS('PRECIOS VICTOR'!$D:$D,'PRECIOS VICTOR'!$A:$A,$A484),0),"")</f>
        <v>1990</v>
      </c>
    </row>
    <row r="485" spans="1:4" x14ac:dyDescent="0.2">
      <c r="A485" s="319" t="s">
        <v>1609</v>
      </c>
      <c r="B485" s="320" t="s">
        <v>1610</v>
      </c>
      <c r="C485" s="319" t="s">
        <v>111</v>
      </c>
      <c r="D485" s="321" t="str">
        <f>IFERROR(ROUND(AVERAGEIFS('PRECIOS VICTOR'!$D:$D,'PRECIOS VICTOR'!$A:$A,$A485),0),"")</f>
        <v/>
      </c>
    </row>
    <row r="486" spans="1:4" x14ac:dyDescent="0.2">
      <c r="A486" s="319" t="s">
        <v>1611</v>
      </c>
      <c r="B486" s="320" t="s">
        <v>1612</v>
      </c>
      <c r="C486" s="319" t="s">
        <v>906</v>
      </c>
      <c r="D486" s="321" t="str">
        <f>IFERROR(ROUND(AVERAGEIFS('PRECIOS VICTOR'!$D:$D,'PRECIOS VICTOR'!$A:$A,$A486),0),"")</f>
        <v/>
      </c>
    </row>
    <row r="487" spans="1:4" x14ac:dyDescent="0.2">
      <c r="A487" s="319" t="s">
        <v>1613</v>
      </c>
      <c r="B487" s="320" t="s">
        <v>1612</v>
      </c>
      <c r="C487" s="319" t="s">
        <v>111</v>
      </c>
      <c r="D487" s="321" t="str">
        <f>IFERROR(ROUND(AVERAGEIFS('PRECIOS VICTOR'!$D:$D,'PRECIOS VICTOR'!$A:$A,$A487),0),"")</f>
        <v/>
      </c>
    </row>
    <row r="488" spans="1:4" x14ac:dyDescent="0.2">
      <c r="A488" s="319" t="s">
        <v>787</v>
      </c>
      <c r="B488" s="320" t="s">
        <v>649</v>
      </c>
      <c r="C488" s="319" t="s">
        <v>111</v>
      </c>
      <c r="D488" s="321" t="str">
        <f>IFERROR(ROUND(AVERAGEIFS('PRECIOS VICTOR'!$D:$D,'PRECIOS VICTOR'!$A:$A,$A488),0),"")</f>
        <v/>
      </c>
    </row>
    <row r="489" spans="1:4" x14ac:dyDescent="0.2">
      <c r="A489" s="319" t="s">
        <v>773</v>
      </c>
      <c r="B489" s="320" t="s">
        <v>1152</v>
      </c>
      <c r="C489" s="319" t="s">
        <v>981</v>
      </c>
      <c r="D489" s="321" t="str">
        <f>IFERROR(ROUND(AVERAGEIFS('PRECIOS VICTOR'!$D:$D,'PRECIOS VICTOR'!$A:$A,$A489),0),"")</f>
        <v/>
      </c>
    </row>
    <row r="490" spans="1:4" x14ac:dyDescent="0.2">
      <c r="A490" s="319" t="s">
        <v>1153</v>
      </c>
      <c r="B490" s="320" t="s">
        <v>261</v>
      </c>
      <c r="C490" s="319" t="s">
        <v>956</v>
      </c>
      <c r="D490" s="321">
        <f>IFERROR(ROUND(AVERAGEIFS('PRECIOS VICTOR'!$D:$D,'PRECIOS VICTOR'!$A:$A,$A490),0),"")</f>
        <v>990</v>
      </c>
    </row>
    <row r="491" spans="1:4" x14ac:dyDescent="0.2">
      <c r="A491" s="319" t="s">
        <v>1154</v>
      </c>
      <c r="B491" s="320" t="s">
        <v>1155</v>
      </c>
      <c r="C491" s="319" t="s">
        <v>15</v>
      </c>
      <c r="D491" s="321">
        <f>IFERROR(ROUND(AVERAGEIFS('PRECIOS VICTOR'!$D:$D,'PRECIOS VICTOR'!$A:$A,$A491),0),"")</f>
        <v>5155</v>
      </c>
    </row>
    <row r="492" spans="1:4" x14ac:dyDescent="0.2">
      <c r="A492" s="319" t="s">
        <v>1156</v>
      </c>
      <c r="B492" s="320" t="s">
        <v>1157</v>
      </c>
      <c r="C492" s="319" t="s">
        <v>906</v>
      </c>
      <c r="D492" s="321">
        <f>IFERROR(ROUND(AVERAGEIFS('PRECIOS VICTOR'!$D:$D,'PRECIOS VICTOR'!$A:$A,$A492),0),"")</f>
        <v>4481</v>
      </c>
    </row>
    <row r="493" spans="1:4" x14ac:dyDescent="0.2">
      <c r="A493" s="319" t="s">
        <v>1158</v>
      </c>
      <c r="B493" s="320" t="s">
        <v>1159</v>
      </c>
      <c r="C493" s="319" t="s">
        <v>111</v>
      </c>
      <c r="D493" s="321">
        <f>IFERROR(ROUND(AVERAGEIFS('PRECIOS VICTOR'!$D:$D,'PRECIOS VICTOR'!$A:$A,$A493),0),"")</f>
        <v>553</v>
      </c>
    </row>
    <row r="494" spans="1:4" x14ac:dyDescent="0.2">
      <c r="A494" s="319" t="s">
        <v>1160</v>
      </c>
      <c r="B494" s="320" t="s">
        <v>1161</v>
      </c>
      <c r="C494" s="319" t="s">
        <v>111</v>
      </c>
      <c r="D494" s="321">
        <f>IFERROR(ROUND(AVERAGEIFS('PRECIOS VICTOR'!$D:$D,'PRECIOS VICTOR'!$A:$A,$A494),0),"")</f>
        <v>593</v>
      </c>
    </row>
    <row r="495" spans="1:4" x14ac:dyDescent="0.2">
      <c r="A495" s="319" t="s">
        <v>840</v>
      </c>
      <c r="B495" s="320" t="s">
        <v>584</v>
      </c>
      <c r="C495" s="319" t="s">
        <v>111</v>
      </c>
      <c r="D495" s="321">
        <f>IFERROR(ROUND(AVERAGEIFS('PRECIOS VICTOR'!$D:$D,'PRECIOS VICTOR'!$A:$A,$A495),0),"")</f>
        <v>633</v>
      </c>
    </row>
    <row r="496" spans="1:4" x14ac:dyDescent="0.2">
      <c r="A496" s="319" t="s">
        <v>810</v>
      </c>
      <c r="B496" s="320" t="s">
        <v>1052</v>
      </c>
      <c r="C496" s="319" t="s">
        <v>906</v>
      </c>
      <c r="D496" s="321">
        <f>IFERROR(ROUND(AVERAGEIFS('PRECIOS VICTOR'!$D:$D,'PRECIOS VICTOR'!$A:$A,$A496),0),"")</f>
        <v>3716</v>
      </c>
    </row>
    <row r="497" spans="1:4" x14ac:dyDescent="0.2">
      <c r="A497" s="319" t="s">
        <v>1614</v>
      </c>
      <c r="B497" s="320" t="s">
        <v>1615</v>
      </c>
      <c r="C497" s="319" t="s">
        <v>15</v>
      </c>
      <c r="D497" s="321" t="str">
        <f>IFERROR(ROUND(AVERAGEIFS('PRECIOS VICTOR'!$D:$D,'PRECIOS VICTOR'!$A:$A,$A497),0),"")</f>
        <v/>
      </c>
    </row>
    <row r="498" spans="1:4" x14ac:dyDescent="0.2">
      <c r="A498" s="319" t="s">
        <v>1162</v>
      </c>
      <c r="B498" s="320" t="s">
        <v>1163</v>
      </c>
      <c r="C498" s="319" t="s">
        <v>15</v>
      </c>
      <c r="D498" s="321">
        <f>IFERROR(ROUND(AVERAGEIFS('PRECIOS VICTOR'!$D:$D,'PRECIOS VICTOR'!$A:$A,$A498),0),"")</f>
        <v>8000</v>
      </c>
    </row>
    <row r="499" spans="1:4" x14ac:dyDescent="0.2">
      <c r="A499" s="319" t="s">
        <v>855</v>
      </c>
      <c r="B499" s="320" t="s">
        <v>1116</v>
      </c>
      <c r="C499" s="319" t="s">
        <v>15</v>
      </c>
      <c r="D499" s="321">
        <f>IFERROR(ROUND(AVERAGEIFS('PRECIOS VICTOR'!$D:$D,'PRECIOS VICTOR'!$A:$A,$A499),0),"")</f>
        <v>8895</v>
      </c>
    </row>
    <row r="500" spans="1:4" x14ac:dyDescent="0.2">
      <c r="A500" s="319" t="s">
        <v>1616</v>
      </c>
      <c r="B500" s="320" t="s">
        <v>1617</v>
      </c>
      <c r="C500" s="319" t="s">
        <v>942</v>
      </c>
      <c r="D500" s="321" t="str">
        <f>IFERROR(ROUND(AVERAGEIFS('PRECIOS VICTOR'!$D:$D,'PRECIOS VICTOR'!$A:$A,$A500),0),"")</f>
        <v/>
      </c>
    </row>
    <row r="501" spans="1:4" x14ac:dyDescent="0.2">
      <c r="A501" s="319" t="s">
        <v>1618</v>
      </c>
      <c r="B501" s="320" t="s">
        <v>1619</v>
      </c>
      <c r="C501" s="319" t="s">
        <v>906</v>
      </c>
      <c r="D501" s="321" t="str">
        <f>IFERROR(ROUND(AVERAGEIFS('PRECIOS VICTOR'!$D:$D,'PRECIOS VICTOR'!$A:$A,$A501),0),"")</f>
        <v/>
      </c>
    </row>
    <row r="502" spans="1:4" x14ac:dyDescent="0.2">
      <c r="A502" s="319" t="s">
        <v>813</v>
      </c>
      <c r="B502" s="320" t="s">
        <v>571</v>
      </c>
      <c r="C502" s="319" t="s">
        <v>15</v>
      </c>
      <c r="D502" s="321">
        <f>IFERROR(ROUND(AVERAGEIFS('PRECIOS VICTOR'!$D:$D,'PRECIOS VICTOR'!$A:$A,$A502),0),"")</f>
        <v>7560</v>
      </c>
    </row>
    <row r="503" spans="1:4" x14ac:dyDescent="0.2">
      <c r="A503" s="319" t="s">
        <v>1164</v>
      </c>
      <c r="B503" s="320" t="s">
        <v>1165</v>
      </c>
      <c r="C503" s="319" t="s">
        <v>947</v>
      </c>
      <c r="D503" s="321" t="str">
        <f>IFERROR(ROUND(AVERAGEIFS('PRECIOS VICTOR'!$D:$D,'PRECIOS VICTOR'!$A:$A,$A503),0),"")</f>
        <v/>
      </c>
    </row>
    <row r="504" spans="1:4" x14ac:dyDescent="0.2">
      <c r="A504" s="319" t="s">
        <v>1620</v>
      </c>
      <c r="B504" s="320" t="s">
        <v>1621</v>
      </c>
      <c r="C504" s="319" t="s">
        <v>906</v>
      </c>
      <c r="D504" s="321" t="str">
        <f>IFERROR(ROUND(AVERAGEIFS('PRECIOS VICTOR'!$D:$D,'PRECIOS VICTOR'!$A:$A,$A504),0),"")</f>
        <v/>
      </c>
    </row>
    <row r="505" spans="1:4" x14ac:dyDescent="0.2">
      <c r="A505" s="319" t="s">
        <v>1622</v>
      </c>
      <c r="B505" s="320" t="s">
        <v>1623</v>
      </c>
      <c r="C505" s="319" t="s">
        <v>906</v>
      </c>
      <c r="D505" s="321" t="str">
        <f>IFERROR(ROUND(AVERAGEIFS('PRECIOS VICTOR'!$D:$D,'PRECIOS VICTOR'!$A:$A,$A505),0),"")</f>
        <v/>
      </c>
    </row>
    <row r="506" spans="1:4" x14ac:dyDescent="0.2">
      <c r="A506" s="319" t="s">
        <v>1624</v>
      </c>
      <c r="B506" s="320" t="s">
        <v>1625</v>
      </c>
      <c r="C506" s="319" t="s">
        <v>906</v>
      </c>
      <c r="D506" s="321" t="str">
        <f>IFERROR(ROUND(AVERAGEIFS('PRECIOS VICTOR'!$D:$D,'PRECIOS VICTOR'!$A:$A,$A506),0),"")</f>
        <v/>
      </c>
    </row>
    <row r="507" spans="1:4" x14ac:dyDescent="0.2">
      <c r="A507" s="319" t="s">
        <v>1626</v>
      </c>
      <c r="B507" s="320" t="s">
        <v>1627</v>
      </c>
      <c r="C507" s="319" t="s">
        <v>906</v>
      </c>
      <c r="D507" s="321" t="str">
        <f>IFERROR(ROUND(AVERAGEIFS('PRECIOS VICTOR'!$D:$D,'PRECIOS VICTOR'!$A:$A,$A507),0),"")</f>
        <v/>
      </c>
    </row>
    <row r="508" spans="1:4" x14ac:dyDescent="0.2">
      <c r="A508" s="319" t="s">
        <v>747</v>
      </c>
      <c r="B508" s="320" t="s">
        <v>541</v>
      </c>
      <c r="C508" s="319" t="s">
        <v>906</v>
      </c>
      <c r="D508" s="321" t="str">
        <f>IFERROR(ROUND(AVERAGEIFS('PRECIOS VICTOR'!$D:$D,'PRECIOS VICTOR'!$A:$A,$A508),0),"")</f>
        <v/>
      </c>
    </row>
    <row r="509" spans="1:4" x14ac:dyDescent="0.2">
      <c r="A509" s="319" t="s">
        <v>757</v>
      </c>
      <c r="B509" s="320" t="s">
        <v>468</v>
      </c>
      <c r="C509" s="319" t="s">
        <v>111</v>
      </c>
      <c r="D509" s="321">
        <f>IFERROR(ROUND(AVERAGEIFS('PRECIOS VICTOR'!$D:$D,'PRECIOS VICTOR'!$A:$A,$A509),0),"")</f>
        <v>434</v>
      </c>
    </row>
    <row r="510" spans="1:4" x14ac:dyDescent="0.2">
      <c r="A510" s="319" t="s">
        <v>1166</v>
      </c>
      <c r="B510" s="320" t="s">
        <v>1167</v>
      </c>
      <c r="C510" s="319" t="s">
        <v>906</v>
      </c>
      <c r="D510" s="321" t="str">
        <f>IFERROR(ROUND(AVERAGEIFS('PRECIOS VICTOR'!$D:$D,'PRECIOS VICTOR'!$A:$A,$A510),0),"")</f>
        <v/>
      </c>
    </row>
    <row r="511" spans="1:4" x14ac:dyDescent="0.2">
      <c r="A511" s="319" t="s">
        <v>1168</v>
      </c>
      <c r="B511" s="320" t="s">
        <v>1169</v>
      </c>
      <c r="C511" s="319" t="s">
        <v>906</v>
      </c>
      <c r="D511" s="321" t="str">
        <f>IFERROR(ROUND(AVERAGEIFS('PRECIOS VICTOR'!$D:$D,'PRECIOS VICTOR'!$A:$A,$A511),0),"")</f>
        <v/>
      </c>
    </row>
    <row r="512" spans="1:4" x14ac:dyDescent="0.2">
      <c r="A512" s="319" t="s">
        <v>1628</v>
      </c>
      <c r="B512" s="320" t="s">
        <v>1629</v>
      </c>
      <c r="C512" s="319" t="s">
        <v>906</v>
      </c>
      <c r="D512" s="321">
        <f>IFERROR(ROUND(AVERAGEIFS('PRECIOS VICTOR'!$D:$D,'PRECIOS VICTOR'!$A:$A,$A512),0),"")</f>
        <v>7500</v>
      </c>
    </row>
    <row r="513" spans="1:4" x14ac:dyDescent="0.2">
      <c r="A513" s="319" t="s">
        <v>1630</v>
      </c>
      <c r="B513" s="320" t="s">
        <v>1631</v>
      </c>
      <c r="C513" s="319" t="s">
        <v>973</v>
      </c>
      <c r="D513" s="321" t="str">
        <f>IFERROR(ROUND(AVERAGEIFS('PRECIOS VICTOR'!$D:$D,'PRECIOS VICTOR'!$A:$A,$A513),0),"")</f>
        <v/>
      </c>
    </row>
    <row r="514" spans="1:4" x14ac:dyDescent="0.2">
      <c r="A514" s="319" t="s">
        <v>1170</v>
      </c>
      <c r="B514" s="320" t="s">
        <v>1171</v>
      </c>
      <c r="C514" s="319" t="s">
        <v>111</v>
      </c>
      <c r="D514" s="321">
        <f>IFERROR(ROUND(AVERAGEIFS('PRECIOS VICTOR'!$D:$D,'PRECIOS VICTOR'!$A:$A,$A514),0),"")</f>
        <v>2630</v>
      </c>
    </row>
    <row r="515" spans="1:4" x14ac:dyDescent="0.2">
      <c r="A515" s="319" t="s">
        <v>1632</v>
      </c>
      <c r="B515" s="320" t="s">
        <v>1633</v>
      </c>
      <c r="C515" s="319" t="s">
        <v>111</v>
      </c>
      <c r="D515" s="321" t="str">
        <f>IFERROR(ROUND(AVERAGEIFS('PRECIOS VICTOR'!$D:$D,'PRECIOS VICTOR'!$A:$A,$A515),0),"")</f>
        <v/>
      </c>
    </row>
    <row r="516" spans="1:4" x14ac:dyDescent="0.2">
      <c r="A516" s="319" t="s">
        <v>791</v>
      </c>
      <c r="B516" s="320" t="s">
        <v>500</v>
      </c>
      <c r="C516" s="319" t="s">
        <v>111</v>
      </c>
      <c r="D516" s="321">
        <f>IFERROR(ROUND(AVERAGEIFS('PRECIOS VICTOR'!$D:$D,'PRECIOS VICTOR'!$A:$A,$A516),0),"")</f>
        <v>1188</v>
      </c>
    </row>
    <row r="517" spans="1:4" x14ac:dyDescent="0.2">
      <c r="A517" s="319" t="s">
        <v>877</v>
      </c>
      <c r="B517" s="320" t="s">
        <v>452</v>
      </c>
      <c r="C517" s="319" t="s">
        <v>973</v>
      </c>
      <c r="D517" s="321" t="str">
        <f>IFERROR(ROUND(AVERAGEIFS('PRECIOS VICTOR'!$D:$D,'PRECIOS VICTOR'!$A:$A,$A517),0),"")</f>
        <v/>
      </c>
    </row>
    <row r="518" spans="1:4" x14ac:dyDescent="0.2">
      <c r="A518" s="319" t="s">
        <v>1634</v>
      </c>
      <c r="B518" s="320" t="s">
        <v>1500</v>
      </c>
      <c r="C518" s="319" t="s">
        <v>942</v>
      </c>
      <c r="D518" s="321">
        <f>IFERROR(ROUND(AVERAGEIFS('PRECIOS VICTOR'!$D:$D,'PRECIOS VICTOR'!$A:$A,$A518),0),"")</f>
        <v>10390</v>
      </c>
    </row>
    <row r="519" spans="1:4" x14ac:dyDescent="0.2">
      <c r="A519" s="319" t="s">
        <v>1635</v>
      </c>
      <c r="B519" s="320" t="s">
        <v>1636</v>
      </c>
      <c r="C519" s="319" t="s">
        <v>111</v>
      </c>
      <c r="D519" s="321" t="str">
        <f>IFERROR(ROUND(AVERAGEIFS('PRECIOS VICTOR'!$D:$D,'PRECIOS VICTOR'!$A:$A,$A519),0),"")</f>
        <v/>
      </c>
    </row>
    <row r="520" spans="1:4" x14ac:dyDescent="0.2">
      <c r="A520" s="319" t="s">
        <v>296</v>
      </c>
      <c r="B520" s="320" t="s">
        <v>651</v>
      </c>
      <c r="C520" s="319" t="s">
        <v>15</v>
      </c>
      <c r="D520" s="321">
        <f>IFERROR(ROUND(AVERAGEIFS('PRECIOS VICTOR'!$D:$D,'PRECIOS VICTOR'!$A:$A,$A520),0),"")</f>
        <v>3399</v>
      </c>
    </row>
    <row r="521" spans="1:4" x14ac:dyDescent="0.2">
      <c r="A521" s="319" t="s">
        <v>823</v>
      </c>
      <c r="B521" s="320" t="s">
        <v>66</v>
      </c>
      <c r="C521" s="319" t="s">
        <v>15</v>
      </c>
      <c r="D521" s="321" t="str">
        <f>IFERROR(ROUND(AVERAGEIFS('PRECIOS VICTOR'!$D:$D,'PRECIOS VICTOR'!$A:$A,$A521),0),"")</f>
        <v/>
      </c>
    </row>
    <row r="522" spans="1:4" x14ac:dyDescent="0.2">
      <c r="A522" s="319" t="s">
        <v>680</v>
      </c>
      <c r="B522" s="320" t="s">
        <v>485</v>
      </c>
      <c r="C522" s="319" t="s">
        <v>947</v>
      </c>
      <c r="D522" s="321">
        <f>IFERROR(ROUND(AVERAGEIFS('PRECIOS VICTOR'!$D:$D,'PRECIOS VICTOR'!$A:$A,$A522),0),"")</f>
        <v>2900</v>
      </c>
    </row>
    <row r="523" spans="1:4" x14ac:dyDescent="0.2">
      <c r="A523" s="319" t="s">
        <v>1637</v>
      </c>
      <c r="B523" s="320" t="s">
        <v>1638</v>
      </c>
      <c r="C523" s="319" t="s">
        <v>906</v>
      </c>
      <c r="D523" s="321">
        <f>IFERROR(ROUND(AVERAGEIFS('PRECIOS VICTOR'!$D:$D,'PRECIOS VICTOR'!$A:$A,$A523),0),"")</f>
        <v>339</v>
      </c>
    </row>
    <row r="524" spans="1:4" x14ac:dyDescent="0.2">
      <c r="A524" s="319" t="s">
        <v>1639</v>
      </c>
      <c r="B524" s="320" t="s">
        <v>1640</v>
      </c>
      <c r="C524" s="319" t="s">
        <v>906</v>
      </c>
      <c r="D524" s="321" t="str">
        <f>IFERROR(ROUND(AVERAGEIFS('PRECIOS VICTOR'!$D:$D,'PRECIOS VICTOR'!$A:$A,$A524),0),"")</f>
        <v/>
      </c>
    </row>
    <row r="525" spans="1:4" x14ac:dyDescent="0.2">
      <c r="A525" s="319" t="s">
        <v>1641</v>
      </c>
      <c r="B525" s="320" t="s">
        <v>1642</v>
      </c>
      <c r="C525" s="319" t="s">
        <v>906</v>
      </c>
      <c r="D525" s="321" t="str">
        <f>IFERROR(ROUND(AVERAGEIFS('PRECIOS VICTOR'!$D:$D,'PRECIOS VICTOR'!$A:$A,$A525),0),"")</f>
        <v/>
      </c>
    </row>
    <row r="526" spans="1:4" x14ac:dyDescent="0.2">
      <c r="A526" s="319" t="s">
        <v>768</v>
      </c>
      <c r="B526" s="320" t="s">
        <v>767</v>
      </c>
      <c r="C526" s="319" t="s">
        <v>906</v>
      </c>
      <c r="D526" s="321">
        <f>IFERROR(ROUND(AVERAGEIFS('PRECIOS VICTOR'!$D:$D,'PRECIOS VICTOR'!$A:$A,$A526),0),"")</f>
        <v>3386</v>
      </c>
    </row>
    <row r="527" spans="1:4" x14ac:dyDescent="0.2">
      <c r="A527" s="319" t="s">
        <v>1643</v>
      </c>
      <c r="B527" s="320" t="s">
        <v>1644</v>
      </c>
      <c r="C527" s="319" t="s">
        <v>111</v>
      </c>
      <c r="D527" s="321" t="str">
        <f>IFERROR(ROUND(AVERAGEIFS('PRECIOS VICTOR'!$D:$D,'PRECIOS VICTOR'!$A:$A,$A527),0),"")</f>
        <v/>
      </c>
    </row>
    <row r="528" spans="1:4" x14ac:dyDescent="0.2">
      <c r="A528" s="319" t="s">
        <v>1645</v>
      </c>
      <c r="B528" s="320" t="s">
        <v>1646</v>
      </c>
      <c r="C528" s="319" t="s">
        <v>111</v>
      </c>
      <c r="D528" s="321" t="str">
        <f>IFERROR(ROUND(AVERAGEIFS('PRECIOS VICTOR'!$D:$D,'PRECIOS VICTOR'!$A:$A,$A528),0),"")</f>
        <v/>
      </c>
    </row>
    <row r="529" spans="1:4" x14ac:dyDescent="0.2">
      <c r="A529" s="319" t="s">
        <v>1647</v>
      </c>
      <c r="B529" s="320" t="s">
        <v>1648</v>
      </c>
      <c r="C529" s="319" t="s">
        <v>906</v>
      </c>
      <c r="D529" s="321" t="str">
        <f>IFERROR(ROUND(AVERAGEIFS('PRECIOS VICTOR'!$D:$D,'PRECIOS VICTOR'!$A:$A,$A529),0),"")</f>
        <v/>
      </c>
    </row>
    <row r="530" spans="1:4" x14ac:dyDescent="0.2">
      <c r="A530" s="319" t="s">
        <v>1176</v>
      </c>
      <c r="B530" s="320" t="s">
        <v>481</v>
      </c>
      <c r="C530" s="319" t="s">
        <v>981</v>
      </c>
      <c r="D530" s="321" t="str">
        <f>IFERROR(ROUND(AVERAGEIFS('PRECIOS VICTOR'!$D:$D,'PRECIOS VICTOR'!$A:$A,$A530),0),"")</f>
        <v/>
      </c>
    </row>
    <row r="531" spans="1:4" x14ac:dyDescent="0.2">
      <c r="A531" s="319" t="s">
        <v>1649</v>
      </c>
      <c r="B531" s="320" t="s">
        <v>1650</v>
      </c>
      <c r="C531" s="319" t="s">
        <v>906</v>
      </c>
      <c r="D531" s="321" t="str">
        <f>IFERROR(ROUND(AVERAGEIFS('PRECIOS VICTOR'!$D:$D,'PRECIOS VICTOR'!$A:$A,$A531),0),"")</f>
        <v/>
      </c>
    </row>
    <row r="532" spans="1:4" x14ac:dyDescent="0.2">
      <c r="A532" s="319" t="s">
        <v>683</v>
      </c>
      <c r="B532" s="320" t="s">
        <v>516</v>
      </c>
      <c r="C532" s="319" t="s">
        <v>111</v>
      </c>
      <c r="D532" s="321">
        <f>IFERROR(ROUND(AVERAGEIFS('PRECIOS VICTOR'!$D:$D,'PRECIOS VICTOR'!$A:$A,$A532),0),"")</f>
        <v>551</v>
      </c>
    </row>
    <row r="533" spans="1:4" x14ac:dyDescent="0.2">
      <c r="A533" s="319" t="s">
        <v>1651</v>
      </c>
      <c r="B533" s="320" t="s">
        <v>1652</v>
      </c>
      <c r="C533" s="319" t="s">
        <v>15</v>
      </c>
      <c r="D533" s="321" t="str">
        <f>IFERROR(ROUND(AVERAGEIFS('PRECIOS VICTOR'!$D:$D,'PRECIOS VICTOR'!$A:$A,$A533),0),"")</f>
        <v/>
      </c>
    </row>
    <row r="534" spans="1:4" x14ac:dyDescent="0.2">
      <c r="A534" s="319" t="s">
        <v>752</v>
      </c>
      <c r="B534" s="320" t="s">
        <v>538</v>
      </c>
      <c r="C534" s="319" t="s">
        <v>906</v>
      </c>
      <c r="D534" s="321" t="str">
        <f>IFERROR(ROUND(AVERAGEIFS('PRECIOS VICTOR'!$D:$D,'PRECIOS VICTOR'!$A:$A,$A534),0),"")</f>
        <v/>
      </c>
    </row>
    <row r="535" spans="1:4" x14ac:dyDescent="0.2">
      <c r="A535" s="319" t="s">
        <v>1177</v>
      </c>
      <c r="B535" s="320" t="s">
        <v>1178</v>
      </c>
      <c r="C535" s="319" t="s">
        <v>906</v>
      </c>
      <c r="D535" s="321">
        <f>IFERROR(ROUND(AVERAGEIFS('PRECIOS VICTOR'!$D:$D,'PRECIOS VICTOR'!$A:$A,$A535),0),"")</f>
        <v>750</v>
      </c>
    </row>
    <row r="536" spans="1:4" x14ac:dyDescent="0.2">
      <c r="A536" s="319" t="s">
        <v>1653</v>
      </c>
      <c r="B536" s="320" t="s">
        <v>1654</v>
      </c>
      <c r="C536" s="319" t="s">
        <v>906</v>
      </c>
      <c r="D536" s="321" t="str">
        <f>IFERROR(ROUND(AVERAGEIFS('PRECIOS VICTOR'!$D:$D,'PRECIOS VICTOR'!$A:$A,$A536),0),"")</f>
        <v/>
      </c>
    </row>
    <row r="537" spans="1:4" x14ac:dyDescent="0.2">
      <c r="A537" s="319" t="s">
        <v>1655</v>
      </c>
      <c r="B537" s="320" t="s">
        <v>1656</v>
      </c>
      <c r="C537" s="319" t="s">
        <v>111</v>
      </c>
      <c r="D537" s="321">
        <f>IFERROR(ROUND(AVERAGEIFS('PRECIOS VICTOR'!$D:$D,'PRECIOS VICTOR'!$A:$A,$A537),0),"")</f>
        <v>1213</v>
      </c>
    </row>
    <row r="538" spans="1:4" x14ac:dyDescent="0.2">
      <c r="A538" s="319" t="s">
        <v>725</v>
      </c>
      <c r="B538" s="320" t="s">
        <v>1657</v>
      </c>
      <c r="C538" s="319" t="s">
        <v>15</v>
      </c>
      <c r="D538" s="321" t="str">
        <f>IFERROR(ROUND(AVERAGEIFS('PRECIOS VICTOR'!$D:$D,'PRECIOS VICTOR'!$A:$A,$A538),0),"")</f>
        <v/>
      </c>
    </row>
    <row r="539" spans="1:4" x14ac:dyDescent="0.2">
      <c r="A539" s="319" t="s">
        <v>1658</v>
      </c>
      <c r="B539" s="320" t="s">
        <v>1659</v>
      </c>
      <c r="C539" s="319" t="s">
        <v>15</v>
      </c>
      <c r="D539" s="321">
        <f>IFERROR(ROUND(AVERAGEIFS('PRECIOS VICTOR'!$D:$D,'PRECIOS VICTOR'!$A:$A,$A539),0),"")</f>
        <v>2500</v>
      </c>
    </row>
    <row r="540" spans="1:4" x14ac:dyDescent="0.2">
      <c r="A540" s="319" t="s">
        <v>655</v>
      </c>
      <c r="B540" s="320" t="s">
        <v>486</v>
      </c>
      <c r="C540" s="319" t="s">
        <v>111</v>
      </c>
      <c r="D540" s="321" t="str">
        <f>IFERROR(ROUND(AVERAGEIFS('PRECIOS VICTOR'!$D:$D,'PRECIOS VICTOR'!$A:$A,$A540),0),"")</f>
        <v/>
      </c>
    </row>
    <row r="541" spans="1:4" x14ac:dyDescent="0.2">
      <c r="A541" s="319" t="s">
        <v>793</v>
      </c>
      <c r="B541" s="320" t="s">
        <v>501</v>
      </c>
      <c r="C541" s="319" t="s">
        <v>111</v>
      </c>
      <c r="D541" s="321">
        <f>IFERROR(ROUND(AVERAGEIFS('PRECIOS VICTOR'!$D:$D,'PRECIOS VICTOR'!$A:$A,$A541),0),"")</f>
        <v>995</v>
      </c>
    </row>
    <row r="542" spans="1:4" x14ac:dyDescent="0.2">
      <c r="A542" s="319" t="s">
        <v>1660</v>
      </c>
      <c r="B542" s="320" t="s">
        <v>968</v>
      </c>
      <c r="C542" s="319" t="s">
        <v>15</v>
      </c>
      <c r="D542" s="321">
        <f>IFERROR(ROUND(AVERAGEIFS('PRECIOS VICTOR'!$D:$D,'PRECIOS VICTOR'!$A:$A,$A542),0),"")</f>
        <v>8725</v>
      </c>
    </row>
    <row r="543" spans="1:4" x14ac:dyDescent="0.2">
      <c r="A543" s="319" t="s">
        <v>1180</v>
      </c>
      <c r="B543" s="320" t="s">
        <v>1181</v>
      </c>
      <c r="C543" s="319" t="s">
        <v>15</v>
      </c>
      <c r="D543" s="321" t="str">
        <f>IFERROR(ROUND(AVERAGEIFS('PRECIOS VICTOR'!$D:$D,'PRECIOS VICTOR'!$A:$A,$A543),0),"")</f>
        <v/>
      </c>
    </row>
    <row r="544" spans="1:4" x14ac:dyDescent="0.2">
      <c r="A544" s="319" t="s">
        <v>1661</v>
      </c>
      <c r="B544" s="320" t="s">
        <v>1662</v>
      </c>
      <c r="C544" s="319" t="s">
        <v>1007</v>
      </c>
      <c r="D544" s="321" t="str">
        <f>IFERROR(ROUND(AVERAGEIFS('PRECIOS VICTOR'!$D:$D,'PRECIOS VICTOR'!$A:$A,$A544),0),"")</f>
        <v/>
      </c>
    </row>
    <row r="545" spans="1:4" x14ac:dyDescent="0.2">
      <c r="A545" s="319" t="s">
        <v>1663</v>
      </c>
      <c r="B545" s="320" t="s">
        <v>1664</v>
      </c>
      <c r="C545" s="319" t="s">
        <v>906</v>
      </c>
      <c r="D545" s="321">
        <f>IFERROR(ROUND(AVERAGEIFS('PRECIOS VICTOR'!$D:$D,'PRECIOS VICTOR'!$A:$A,$A545),0),"")</f>
        <v>490</v>
      </c>
    </row>
    <row r="546" spans="1:4" x14ac:dyDescent="0.2">
      <c r="A546" s="319" t="s">
        <v>1665</v>
      </c>
      <c r="B546" s="320" t="s">
        <v>1666</v>
      </c>
      <c r="C546" s="319" t="s">
        <v>906</v>
      </c>
      <c r="D546" s="321">
        <f>IFERROR(ROUND(AVERAGEIFS('PRECIOS VICTOR'!$D:$D,'PRECIOS VICTOR'!$A:$A,$A546),0),"")</f>
        <v>1990</v>
      </c>
    </row>
    <row r="547" spans="1:4" x14ac:dyDescent="0.2">
      <c r="A547" s="319" t="s">
        <v>1667</v>
      </c>
      <c r="B547" s="320" t="s">
        <v>1668</v>
      </c>
      <c r="C547" s="319" t="s">
        <v>906</v>
      </c>
      <c r="D547" s="321">
        <f>IFERROR(ROUND(AVERAGEIFS('PRECIOS VICTOR'!$D:$D,'PRECIOS VICTOR'!$A:$A,$A547),0),"")</f>
        <v>1700</v>
      </c>
    </row>
    <row r="548" spans="1:4" x14ac:dyDescent="0.2">
      <c r="A548" s="319" t="s">
        <v>1669</v>
      </c>
      <c r="B548" s="320" t="s">
        <v>558</v>
      </c>
      <c r="C548" s="319" t="s">
        <v>947</v>
      </c>
      <c r="D548" s="321">
        <f>IFERROR(ROUND(AVERAGEIFS('PRECIOS VICTOR'!$D:$D,'PRECIOS VICTOR'!$A:$A,$A548),0),"")</f>
        <v>1428</v>
      </c>
    </row>
    <row r="549" spans="1:4" x14ac:dyDescent="0.2">
      <c r="A549" s="319" t="s">
        <v>1182</v>
      </c>
      <c r="B549" s="320" t="s">
        <v>1183</v>
      </c>
      <c r="C549" s="319" t="s">
        <v>906</v>
      </c>
      <c r="D549" s="321">
        <f>IFERROR(ROUND(AVERAGEIFS('PRECIOS VICTOR'!$D:$D,'PRECIOS VICTOR'!$A:$A,$A549),0),"")</f>
        <v>6080</v>
      </c>
    </row>
    <row r="550" spans="1:4" x14ac:dyDescent="0.2">
      <c r="A550" s="319" t="s">
        <v>1670</v>
      </c>
      <c r="B550" s="320" t="s">
        <v>1671</v>
      </c>
      <c r="C550" s="319" t="s">
        <v>15</v>
      </c>
      <c r="D550" s="321" t="str">
        <f>IFERROR(ROUND(AVERAGEIFS('PRECIOS VICTOR'!$D:$D,'PRECIOS VICTOR'!$A:$A,$A550),0),"")</f>
        <v/>
      </c>
    </row>
    <row r="551" spans="1:4" x14ac:dyDescent="0.2">
      <c r="A551" s="319" t="s">
        <v>1672</v>
      </c>
      <c r="B551" s="320" t="s">
        <v>1673</v>
      </c>
      <c r="C551" s="319" t="s">
        <v>15</v>
      </c>
      <c r="D551" s="321" t="str">
        <f>IFERROR(ROUND(AVERAGEIFS('PRECIOS VICTOR'!$D:$D,'PRECIOS VICTOR'!$A:$A,$A551),0),"")</f>
        <v/>
      </c>
    </row>
    <row r="552" spans="1:4" x14ac:dyDescent="0.2">
      <c r="A552" s="319" t="s">
        <v>1674</v>
      </c>
      <c r="B552" s="320" t="s">
        <v>1675</v>
      </c>
      <c r="C552" s="319" t="s">
        <v>15</v>
      </c>
      <c r="D552" s="321" t="str">
        <f>IFERROR(ROUND(AVERAGEIFS('PRECIOS VICTOR'!$D:$D,'PRECIOS VICTOR'!$A:$A,$A552),0),"")</f>
        <v/>
      </c>
    </row>
    <row r="553" spans="1:4" x14ac:dyDescent="0.2">
      <c r="A553" s="319" t="s">
        <v>1184</v>
      </c>
      <c r="B553" s="320" t="s">
        <v>1185</v>
      </c>
      <c r="C553" s="319" t="s">
        <v>906</v>
      </c>
      <c r="D553" s="321" t="str">
        <f>IFERROR(ROUND(AVERAGEIFS('PRECIOS VICTOR'!$D:$D,'PRECIOS VICTOR'!$A:$A,$A553),0),"")</f>
        <v/>
      </c>
    </row>
    <row r="554" spans="1:4" x14ac:dyDescent="0.2">
      <c r="A554" s="319" t="s">
        <v>1186</v>
      </c>
      <c r="B554" s="320" t="s">
        <v>1187</v>
      </c>
      <c r="C554" s="319" t="s">
        <v>111</v>
      </c>
      <c r="D554" s="321" t="str">
        <f>IFERROR(ROUND(AVERAGEIFS('PRECIOS VICTOR'!$D:$D,'PRECIOS VICTOR'!$A:$A,$A554),0),"")</f>
        <v/>
      </c>
    </row>
    <row r="555" spans="1:4" x14ac:dyDescent="0.2">
      <c r="A555" s="319" t="s">
        <v>1188</v>
      </c>
      <c r="B555" s="320" t="s">
        <v>471</v>
      </c>
      <c r="C555" s="319" t="s">
        <v>1007</v>
      </c>
      <c r="D555" s="321">
        <f>IFERROR(ROUND(AVERAGEIFS('PRECIOS VICTOR'!$D:$D,'PRECIOS VICTOR'!$A:$A,$A555),0),"")</f>
        <v>800</v>
      </c>
    </row>
    <row r="556" spans="1:4" x14ac:dyDescent="0.2">
      <c r="A556" s="319" t="s">
        <v>1189</v>
      </c>
      <c r="B556" s="320" t="s">
        <v>1190</v>
      </c>
      <c r="C556" s="319" t="s">
        <v>15</v>
      </c>
      <c r="D556" s="321">
        <f>IFERROR(ROUND(AVERAGEIFS('PRECIOS VICTOR'!$D:$D,'PRECIOS VICTOR'!$A:$A,$A556),0),"")</f>
        <v>8480</v>
      </c>
    </row>
    <row r="557" spans="1:4" x14ac:dyDescent="0.2">
      <c r="A557" s="319" t="s">
        <v>1676</v>
      </c>
      <c r="B557" s="320" t="s">
        <v>1677</v>
      </c>
      <c r="C557" s="319" t="s">
        <v>111</v>
      </c>
      <c r="D557" s="321" t="str">
        <f>IFERROR(ROUND(AVERAGEIFS('PRECIOS VICTOR'!$D:$D,'PRECIOS VICTOR'!$A:$A,$A557),0),"")</f>
        <v/>
      </c>
    </row>
    <row r="558" spans="1:4" x14ac:dyDescent="0.2">
      <c r="A558" s="319" t="s">
        <v>1678</v>
      </c>
      <c r="B558" s="320" t="s">
        <v>1679</v>
      </c>
      <c r="C558" s="319" t="s">
        <v>111</v>
      </c>
      <c r="D558" s="321" t="str">
        <f>IFERROR(ROUND(AVERAGEIFS('PRECIOS VICTOR'!$D:$D,'PRECIOS VICTOR'!$A:$A,$A558),0),"")</f>
        <v/>
      </c>
    </row>
    <row r="559" spans="1:4" x14ac:dyDescent="0.2">
      <c r="A559" s="319" t="s">
        <v>1680</v>
      </c>
      <c r="B559" s="320" t="s">
        <v>1681</v>
      </c>
      <c r="C559" s="319" t="s">
        <v>15</v>
      </c>
      <c r="D559" s="321" t="str">
        <f>IFERROR(ROUND(AVERAGEIFS('PRECIOS VICTOR'!$D:$D,'PRECIOS VICTOR'!$A:$A,$A559),0),"")</f>
        <v/>
      </c>
    </row>
    <row r="560" spans="1:4" x14ac:dyDescent="0.2">
      <c r="A560" s="319" t="s">
        <v>1191</v>
      </c>
      <c r="B560" s="320" t="s">
        <v>25</v>
      </c>
      <c r="C560" s="319" t="s">
        <v>956</v>
      </c>
      <c r="D560" s="321">
        <f>IFERROR(ROUND(AVERAGEIFS('PRECIOS VICTOR'!$D:$D,'PRECIOS VICTOR'!$A:$A,$A560),0),"")</f>
        <v>1690</v>
      </c>
    </row>
    <row r="561" spans="1:4" x14ac:dyDescent="0.2">
      <c r="A561" s="319" t="s">
        <v>1682</v>
      </c>
      <c r="B561" s="320" t="s">
        <v>1683</v>
      </c>
      <c r="C561" s="319" t="s">
        <v>973</v>
      </c>
      <c r="D561" s="321" t="str">
        <f>IFERROR(ROUND(AVERAGEIFS('PRECIOS VICTOR'!$D:$D,'PRECIOS VICTOR'!$A:$A,$A561),0),"")</f>
        <v/>
      </c>
    </row>
    <row r="562" spans="1:4" x14ac:dyDescent="0.2">
      <c r="A562" s="319" t="s">
        <v>866</v>
      </c>
      <c r="B562" s="320" t="s">
        <v>1684</v>
      </c>
      <c r="C562" s="319" t="s">
        <v>15</v>
      </c>
      <c r="D562" s="321" t="str">
        <f>IFERROR(ROUND(AVERAGEIFS('PRECIOS VICTOR'!$D:$D,'PRECIOS VICTOR'!$A:$A,$A562),0),"")</f>
        <v/>
      </c>
    </row>
    <row r="563" spans="1:4" x14ac:dyDescent="0.2">
      <c r="A563" s="319" t="s">
        <v>693</v>
      </c>
      <c r="B563" s="320" t="s">
        <v>520</v>
      </c>
      <c r="C563" s="319" t="s">
        <v>15</v>
      </c>
      <c r="D563" s="321">
        <f>IFERROR(ROUND(AVERAGEIFS('PRECIOS VICTOR'!$D:$D,'PRECIOS VICTOR'!$A:$A,$A563),0),"")</f>
        <v>1364</v>
      </c>
    </row>
    <row r="564" spans="1:4" x14ac:dyDescent="0.2">
      <c r="A564" s="319" t="s">
        <v>670</v>
      </c>
      <c r="B564" s="320" t="s">
        <v>453</v>
      </c>
      <c r="C564" s="319" t="s">
        <v>111</v>
      </c>
      <c r="D564" s="321" t="str">
        <f>IFERROR(ROUND(AVERAGEIFS('PRECIOS VICTOR'!$D:$D,'PRECIOS VICTOR'!$A:$A,$A564),0),"")</f>
        <v/>
      </c>
    </row>
    <row r="565" spans="1:4" x14ac:dyDescent="0.2">
      <c r="A565" s="319" t="s">
        <v>1685</v>
      </c>
      <c r="B565" s="320" t="s">
        <v>1686</v>
      </c>
      <c r="C565" s="319" t="s">
        <v>1007</v>
      </c>
      <c r="D565" s="321" t="str">
        <f>IFERROR(ROUND(AVERAGEIFS('PRECIOS VICTOR'!$D:$D,'PRECIOS VICTOR'!$A:$A,$A565),0),"")</f>
        <v/>
      </c>
    </row>
    <row r="566" spans="1:4" x14ac:dyDescent="0.2">
      <c r="A566" s="319" t="s">
        <v>1687</v>
      </c>
      <c r="B566" s="320" t="s">
        <v>1688</v>
      </c>
      <c r="C566" s="319" t="s">
        <v>1007</v>
      </c>
      <c r="D566" s="321" t="str">
        <f>IFERROR(ROUND(AVERAGEIFS('PRECIOS VICTOR'!$D:$D,'PRECIOS VICTOR'!$A:$A,$A566),0),"")</f>
        <v/>
      </c>
    </row>
    <row r="567" spans="1:4" x14ac:dyDescent="0.2">
      <c r="A567" s="319" t="s">
        <v>1689</v>
      </c>
      <c r="B567" s="320" t="s">
        <v>1690</v>
      </c>
      <c r="C567" s="319" t="s">
        <v>15</v>
      </c>
      <c r="D567" s="321" t="str">
        <f>IFERROR(ROUND(AVERAGEIFS('PRECIOS VICTOR'!$D:$D,'PRECIOS VICTOR'!$A:$A,$A567),0),"")</f>
        <v/>
      </c>
    </row>
    <row r="568" spans="1:4" x14ac:dyDescent="0.2">
      <c r="A568" s="319" t="s">
        <v>1192</v>
      </c>
      <c r="B568" s="320" t="s">
        <v>1193</v>
      </c>
      <c r="C568" s="319" t="s">
        <v>15</v>
      </c>
      <c r="D568" s="321" t="str">
        <f>IFERROR(ROUND(AVERAGEIFS('PRECIOS VICTOR'!$D:$D,'PRECIOS VICTOR'!$A:$A,$A568),0),"")</f>
        <v/>
      </c>
    </row>
    <row r="569" spans="1:4" x14ac:dyDescent="0.2">
      <c r="A569" s="319" t="s">
        <v>1691</v>
      </c>
      <c r="B569" s="320" t="s">
        <v>1692</v>
      </c>
      <c r="C569" s="319" t="s">
        <v>906</v>
      </c>
      <c r="D569" s="321" t="str">
        <f>IFERROR(ROUND(AVERAGEIFS('PRECIOS VICTOR'!$D:$D,'PRECIOS VICTOR'!$A:$A,$A569),0),"")</f>
        <v/>
      </c>
    </row>
    <row r="570" spans="1:4" x14ac:dyDescent="0.2">
      <c r="A570" s="319" t="s">
        <v>1693</v>
      </c>
      <c r="B570" s="320" t="s">
        <v>227</v>
      </c>
      <c r="C570" s="319" t="s">
        <v>15</v>
      </c>
      <c r="D570" s="321">
        <f>IFERROR(ROUND(AVERAGEIFS('PRECIOS VICTOR'!$D:$D,'PRECIOS VICTOR'!$A:$A,$A570),0),"")</f>
        <v>11900</v>
      </c>
    </row>
    <row r="571" spans="1:4" x14ac:dyDescent="0.2">
      <c r="A571" s="319" t="s">
        <v>1194</v>
      </c>
      <c r="B571" s="320" t="s">
        <v>1195</v>
      </c>
      <c r="C571" s="319" t="s">
        <v>1007</v>
      </c>
      <c r="D571" s="321">
        <f>IFERROR(ROUND(AVERAGEIFS('PRECIOS VICTOR'!$D:$D,'PRECIOS VICTOR'!$A:$A,$A571),0),"")</f>
        <v>2000</v>
      </c>
    </row>
    <row r="572" spans="1:4" x14ac:dyDescent="0.2">
      <c r="A572" s="319" t="s">
        <v>1694</v>
      </c>
      <c r="B572" s="320" t="s">
        <v>1695</v>
      </c>
      <c r="C572" s="319" t="s">
        <v>111</v>
      </c>
      <c r="D572" s="321" t="str">
        <f>IFERROR(ROUND(AVERAGEIFS('PRECIOS VICTOR'!$D:$D,'PRECIOS VICTOR'!$A:$A,$A572),0),"")</f>
        <v/>
      </c>
    </row>
    <row r="573" spans="1:4" x14ac:dyDescent="0.2">
      <c r="A573" s="319" t="s">
        <v>1696</v>
      </c>
      <c r="B573" s="320" t="s">
        <v>1697</v>
      </c>
      <c r="C573" s="319" t="s">
        <v>906</v>
      </c>
      <c r="D573" s="321" t="str">
        <f>IFERROR(ROUND(AVERAGEIFS('PRECIOS VICTOR'!$D:$D,'PRECIOS VICTOR'!$A:$A,$A573),0),"")</f>
        <v/>
      </c>
    </row>
    <row r="574" spans="1:4" x14ac:dyDescent="0.2">
      <c r="A574" s="319" t="s">
        <v>1698</v>
      </c>
      <c r="B574" s="320" t="s">
        <v>1699</v>
      </c>
      <c r="C574" s="319" t="s">
        <v>111</v>
      </c>
      <c r="D574" s="321">
        <f>IFERROR(ROUND(AVERAGEIFS('PRECIOS VICTOR'!$D:$D,'PRECIOS VICTOR'!$A:$A,$A574),0),"")</f>
        <v>636</v>
      </c>
    </row>
    <row r="575" spans="1:4" x14ac:dyDescent="0.2">
      <c r="A575" s="319" t="s">
        <v>1700</v>
      </c>
      <c r="B575" s="320" t="s">
        <v>1701</v>
      </c>
      <c r="C575" s="319" t="s">
        <v>906</v>
      </c>
      <c r="D575" s="321" t="str">
        <f>IFERROR(ROUND(AVERAGEIFS('PRECIOS VICTOR'!$D:$D,'PRECIOS VICTOR'!$A:$A,$A575),0),"")</f>
        <v/>
      </c>
    </row>
    <row r="576" spans="1:4" x14ac:dyDescent="0.2">
      <c r="A576" s="319" t="s">
        <v>1702</v>
      </c>
      <c r="B576" s="320" t="s">
        <v>503</v>
      </c>
      <c r="C576" s="319" t="s">
        <v>297</v>
      </c>
      <c r="D576" s="321" t="str">
        <f>IFERROR(ROUND(AVERAGEIFS('PRECIOS VICTOR'!$D:$D,'PRECIOS VICTOR'!$A:$A,$A576),0),"")</f>
        <v/>
      </c>
    </row>
    <row r="577" spans="1:4" x14ac:dyDescent="0.2">
      <c r="A577" s="319" t="s">
        <v>1198</v>
      </c>
      <c r="B577" s="320" t="s">
        <v>1199</v>
      </c>
      <c r="C577" s="319" t="s">
        <v>111</v>
      </c>
      <c r="D577" s="321">
        <f>IFERROR(ROUND(AVERAGEIFS('PRECIOS VICTOR'!$D:$D,'PRECIOS VICTOR'!$A:$A,$A577),0),"")</f>
        <v>23205</v>
      </c>
    </row>
    <row r="578" spans="1:4" x14ac:dyDescent="0.2">
      <c r="A578" s="319" t="s">
        <v>1703</v>
      </c>
      <c r="B578" s="320" t="s">
        <v>1704</v>
      </c>
      <c r="C578" s="319" t="s">
        <v>111</v>
      </c>
      <c r="D578" s="321" t="str">
        <f>IFERROR(ROUND(AVERAGEIFS('PRECIOS VICTOR'!$D:$D,'PRECIOS VICTOR'!$A:$A,$A578),0),"")</f>
        <v/>
      </c>
    </row>
    <row r="579" spans="1:4" x14ac:dyDescent="0.2">
      <c r="A579" s="319" t="s">
        <v>1705</v>
      </c>
      <c r="B579" s="320" t="s">
        <v>1706</v>
      </c>
      <c r="C579" s="319" t="s">
        <v>906</v>
      </c>
      <c r="D579" s="321" t="str">
        <f>IFERROR(ROUND(AVERAGEIFS('PRECIOS VICTOR'!$D:$D,'PRECIOS VICTOR'!$A:$A,$A579),0),"")</f>
        <v/>
      </c>
    </row>
    <row r="580" spans="1:4" x14ac:dyDescent="0.2">
      <c r="A580" s="319" t="s">
        <v>1200</v>
      </c>
      <c r="B580" s="320" t="s">
        <v>1201</v>
      </c>
      <c r="C580" s="319" t="s">
        <v>111</v>
      </c>
      <c r="D580" s="321">
        <f>IFERROR(ROUND(AVERAGEIFS('PRECIOS VICTOR'!$D:$D,'PRECIOS VICTOR'!$A:$A,$A580),0),"")</f>
        <v>2090</v>
      </c>
    </row>
    <row r="581" spans="1:4" x14ac:dyDescent="0.2">
      <c r="A581" s="319" t="s">
        <v>1707</v>
      </c>
      <c r="B581" s="320" t="s">
        <v>217</v>
      </c>
      <c r="C581" s="319" t="s">
        <v>15</v>
      </c>
      <c r="D581" s="321">
        <f>IFERROR(ROUND(AVERAGEIFS('PRECIOS VICTOR'!$D:$D,'PRECIOS VICTOR'!$A:$A,$A581),0),"")</f>
        <v>17850</v>
      </c>
    </row>
    <row r="582" spans="1:4" x14ac:dyDescent="0.2">
      <c r="A582" s="319" t="s">
        <v>678</v>
      </c>
      <c r="B582" s="320" t="s">
        <v>511</v>
      </c>
      <c r="C582" s="319" t="s">
        <v>111</v>
      </c>
      <c r="D582" s="321">
        <f>IFERROR(ROUND(AVERAGEIFS('PRECIOS VICTOR'!$D:$D,'PRECIOS VICTOR'!$A:$A,$A582),0),"")</f>
        <v>1309</v>
      </c>
    </row>
    <row r="583" spans="1:4" x14ac:dyDescent="0.2">
      <c r="A583" s="319" t="s">
        <v>631</v>
      </c>
      <c r="B583" s="320" t="s">
        <v>1202</v>
      </c>
      <c r="C583" s="319" t="s">
        <v>15</v>
      </c>
      <c r="D583" s="321">
        <f>IFERROR(ROUND(AVERAGEIFS('PRECIOS VICTOR'!$D:$D,'PRECIOS VICTOR'!$A:$A,$A583),0),"")</f>
        <v>10595</v>
      </c>
    </row>
    <row r="584" spans="1:4" x14ac:dyDescent="0.2">
      <c r="A584" s="319" t="s">
        <v>1708</v>
      </c>
      <c r="B584" s="320" t="s">
        <v>1709</v>
      </c>
      <c r="C584" s="319" t="s">
        <v>111</v>
      </c>
      <c r="D584" s="321">
        <f>IFERROR(ROUND(AVERAGEIFS('PRECIOS VICTOR'!$D:$D,'PRECIOS VICTOR'!$A:$A,$A584),0),"")</f>
        <v>740</v>
      </c>
    </row>
    <row r="585" spans="1:4" x14ac:dyDescent="0.2">
      <c r="A585" s="319" t="s">
        <v>1710</v>
      </c>
      <c r="B585" s="320" t="s">
        <v>1711</v>
      </c>
      <c r="C585" s="319" t="s">
        <v>111</v>
      </c>
      <c r="D585" s="321" t="str">
        <f>IFERROR(ROUND(AVERAGEIFS('PRECIOS VICTOR'!$D:$D,'PRECIOS VICTOR'!$A:$A,$A585),0),"")</f>
        <v/>
      </c>
    </row>
    <row r="586" spans="1:4" x14ac:dyDescent="0.2">
      <c r="A586" s="319" t="s">
        <v>1712</v>
      </c>
      <c r="B586" s="320" t="s">
        <v>1713</v>
      </c>
      <c r="C586" s="319" t="s">
        <v>947</v>
      </c>
      <c r="D586" s="321" t="str">
        <f>IFERROR(ROUND(AVERAGEIFS('PRECIOS VICTOR'!$D:$D,'PRECIOS VICTOR'!$A:$A,$A586),0),"")</f>
        <v/>
      </c>
    </row>
    <row r="587" spans="1:4" x14ac:dyDescent="0.2">
      <c r="A587" s="319" t="s">
        <v>1203</v>
      </c>
      <c r="B587" s="320" t="s">
        <v>1204</v>
      </c>
      <c r="C587" s="319" t="s">
        <v>947</v>
      </c>
      <c r="D587" s="321">
        <f>IFERROR(ROUND(AVERAGEIFS('PRECIOS VICTOR'!$D:$D,'PRECIOS VICTOR'!$A:$A,$A587),0),"")</f>
        <v>528</v>
      </c>
    </row>
    <row r="588" spans="1:4" x14ac:dyDescent="0.2">
      <c r="A588" s="319" t="s">
        <v>686</v>
      </c>
      <c r="B588" s="320" t="s">
        <v>1714</v>
      </c>
      <c r="C588" s="319" t="s">
        <v>111</v>
      </c>
      <c r="D588" s="321" t="str">
        <f>IFERROR(ROUND(AVERAGEIFS('PRECIOS VICTOR'!$D:$D,'PRECIOS VICTOR'!$A:$A,$A588),0),"")</f>
        <v/>
      </c>
    </row>
    <row r="589" spans="1:4" x14ac:dyDescent="0.2">
      <c r="A589" s="319" t="s">
        <v>1715</v>
      </c>
      <c r="B589" s="320" t="s">
        <v>1716</v>
      </c>
      <c r="C589" s="319" t="s">
        <v>906</v>
      </c>
      <c r="D589" s="321" t="str">
        <f>IFERROR(ROUND(AVERAGEIFS('PRECIOS VICTOR'!$D:$D,'PRECIOS VICTOR'!$A:$A,$A589),0),"")</f>
        <v/>
      </c>
    </row>
    <row r="590" spans="1:4" x14ac:dyDescent="0.2">
      <c r="A590" s="319" t="s">
        <v>717</v>
      </c>
      <c r="B590" s="320" t="s">
        <v>530</v>
      </c>
      <c r="C590" s="319" t="s">
        <v>973</v>
      </c>
      <c r="D590" s="321">
        <f>IFERROR(ROUND(AVERAGEIFS('PRECIOS VICTOR'!$D:$D,'PRECIOS VICTOR'!$A:$A,$A590),0),"")</f>
        <v>1000</v>
      </c>
    </row>
    <row r="591" spans="1:4" x14ac:dyDescent="0.2">
      <c r="A591" s="319" t="s">
        <v>1717</v>
      </c>
      <c r="B591" s="320" t="s">
        <v>1718</v>
      </c>
      <c r="C591" s="319" t="s">
        <v>111</v>
      </c>
      <c r="D591" s="321" t="str">
        <f>IFERROR(ROUND(AVERAGEIFS('PRECIOS VICTOR'!$D:$D,'PRECIOS VICTOR'!$A:$A,$A591),0),"")</f>
        <v/>
      </c>
    </row>
    <row r="592" spans="1:4" x14ac:dyDescent="0.2">
      <c r="A592" s="319" t="s">
        <v>1207</v>
      </c>
      <c r="B592" s="320" t="s">
        <v>1013</v>
      </c>
      <c r="C592" s="319" t="s">
        <v>906</v>
      </c>
      <c r="D592" s="321" t="str">
        <f>IFERROR(ROUND(AVERAGEIFS('PRECIOS VICTOR'!$D:$D,'PRECIOS VICTOR'!$A:$A,$A592),0),"")</f>
        <v/>
      </c>
    </row>
    <row r="593" spans="1:4" x14ac:dyDescent="0.2">
      <c r="A593" s="319" t="s">
        <v>1208</v>
      </c>
      <c r="B593" s="320" t="s">
        <v>504</v>
      </c>
      <c r="C593" s="319" t="s">
        <v>15</v>
      </c>
      <c r="D593" s="321">
        <f>IFERROR(ROUND(AVERAGEIFS('PRECIOS VICTOR'!$D:$D,'PRECIOS VICTOR'!$A:$A,$A593),0),"")</f>
        <v>6258</v>
      </c>
    </row>
    <row r="594" spans="1:4" x14ac:dyDescent="0.2">
      <c r="A594" s="319" t="s">
        <v>819</v>
      </c>
      <c r="B594" s="320" t="s">
        <v>1719</v>
      </c>
      <c r="C594" s="319" t="s">
        <v>15</v>
      </c>
      <c r="D594" s="321">
        <f>IFERROR(ROUND(AVERAGEIFS('PRECIOS VICTOR'!$D:$D,'PRECIOS VICTOR'!$A:$A,$A594),0),"")</f>
        <v>8232</v>
      </c>
    </row>
    <row r="595" spans="1:4" x14ac:dyDescent="0.2">
      <c r="A595" s="319" t="s">
        <v>1720</v>
      </c>
      <c r="B595" s="320" t="s">
        <v>1721</v>
      </c>
      <c r="C595" s="319" t="s">
        <v>111</v>
      </c>
      <c r="D595" s="321">
        <f>IFERROR(ROUND(AVERAGEIFS('PRECIOS VICTOR'!$D:$D,'PRECIOS VICTOR'!$A:$A,$A595),0),"")</f>
        <v>424</v>
      </c>
    </row>
    <row r="596" spans="1:4" x14ac:dyDescent="0.2">
      <c r="A596" s="319" t="s">
        <v>1722</v>
      </c>
      <c r="B596" s="320" t="s">
        <v>1723</v>
      </c>
      <c r="C596" s="319" t="s">
        <v>956</v>
      </c>
      <c r="D596" s="321" t="str">
        <f>IFERROR(ROUND(AVERAGEIFS('PRECIOS VICTOR'!$D:$D,'PRECIOS VICTOR'!$A:$A,$A596),0),"")</f>
        <v/>
      </c>
    </row>
    <row r="597" spans="1:4" x14ac:dyDescent="0.2">
      <c r="A597" s="319" t="s">
        <v>1724</v>
      </c>
      <c r="B597" s="320" t="s">
        <v>1445</v>
      </c>
      <c r="C597" s="319" t="s">
        <v>906</v>
      </c>
      <c r="D597" s="321">
        <f>IFERROR(ROUND(AVERAGEIFS('PRECIOS VICTOR'!$D:$D,'PRECIOS VICTOR'!$A:$A,$A597),0),"")</f>
        <v>1890</v>
      </c>
    </row>
    <row r="598" spans="1:4" x14ac:dyDescent="0.2">
      <c r="A598" s="319" t="s">
        <v>1725</v>
      </c>
      <c r="B598" s="320" t="s">
        <v>1726</v>
      </c>
      <c r="C598" s="319" t="s">
        <v>15</v>
      </c>
      <c r="D598" s="321" t="str">
        <f>IFERROR(ROUND(AVERAGEIFS('PRECIOS VICTOR'!$D:$D,'PRECIOS VICTOR'!$A:$A,$A598),0),"")</f>
        <v/>
      </c>
    </row>
    <row r="599" spans="1:4" x14ac:dyDescent="0.2">
      <c r="A599" s="319" t="s">
        <v>1209</v>
      </c>
      <c r="B599" s="320" t="s">
        <v>1210</v>
      </c>
      <c r="C599" s="319" t="s">
        <v>15</v>
      </c>
      <c r="D599" s="321">
        <f>IFERROR(ROUND(AVERAGEIFS('PRECIOS VICTOR'!$D:$D,'PRECIOS VICTOR'!$A:$A,$A599),0),"")</f>
        <v>1844</v>
      </c>
    </row>
    <row r="600" spans="1:4" x14ac:dyDescent="0.2">
      <c r="A600" s="319" t="s">
        <v>751</v>
      </c>
      <c r="B600" s="320" t="s">
        <v>546</v>
      </c>
      <c r="C600" s="319" t="s">
        <v>906</v>
      </c>
      <c r="D600" s="321">
        <f>IFERROR(ROUND(AVERAGEIFS('PRECIOS VICTOR'!$D:$D,'PRECIOS VICTOR'!$A:$A,$A600),0),"")</f>
        <v>202</v>
      </c>
    </row>
    <row r="601" spans="1:4" x14ac:dyDescent="0.2">
      <c r="A601" s="319" t="s">
        <v>1727</v>
      </c>
      <c r="B601" s="320" t="s">
        <v>1728</v>
      </c>
      <c r="C601" s="319" t="s">
        <v>111</v>
      </c>
      <c r="D601" s="321">
        <f>IFERROR(ROUND(AVERAGEIFS('PRECIOS VICTOR'!$D:$D,'PRECIOS VICTOR'!$A:$A,$A601),0),"")</f>
        <v>1735</v>
      </c>
    </row>
    <row r="602" spans="1:4" x14ac:dyDescent="0.2">
      <c r="A602" s="319" t="s">
        <v>675</v>
      </c>
      <c r="B602" s="320" t="s">
        <v>96</v>
      </c>
      <c r="C602" s="319" t="s">
        <v>15</v>
      </c>
      <c r="D602" s="321">
        <f>IFERROR(ROUND(AVERAGEIFS('PRECIOS VICTOR'!$D:$D,'PRECIOS VICTOR'!$A:$A,$A602),0),"")</f>
        <v>4165</v>
      </c>
    </row>
    <row r="603" spans="1:4" x14ac:dyDescent="0.2">
      <c r="A603" s="319" t="s">
        <v>778</v>
      </c>
      <c r="B603" s="320" t="s">
        <v>487</v>
      </c>
      <c r="C603" s="319" t="s">
        <v>111</v>
      </c>
      <c r="D603" s="321">
        <f>IFERROR(ROUND(AVERAGEIFS('PRECIOS VICTOR'!$D:$D,'PRECIOS VICTOR'!$A:$A,$A603),0),"")</f>
        <v>1378</v>
      </c>
    </row>
    <row r="604" spans="1:4" x14ac:dyDescent="0.2">
      <c r="A604" s="319" t="s">
        <v>1729</v>
      </c>
      <c r="B604" s="320" t="s">
        <v>739</v>
      </c>
      <c r="C604" s="319" t="s">
        <v>111</v>
      </c>
      <c r="D604" s="321">
        <f>IFERROR(ROUND(AVERAGEIFS('PRECIOS VICTOR'!$D:$D,'PRECIOS VICTOR'!$A:$A,$A604),0),"")</f>
        <v>370</v>
      </c>
    </row>
    <row r="605" spans="1:4" x14ac:dyDescent="0.2">
      <c r="A605" s="319" t="s">
        <v>1730</v>
      </c>
      <c r="B605" s="320" t="s">
        <v>1731</v>
      </c>
      <c r="C605" s="319" t="s">
        <v>906</v>
      </c>
      <c r="D605" s="321">
        <f>IFERROR(ROUND(AVERAGEIFS('PRECIOS VICTOR'!$D:$D,'PRECIOS VICTOR'!$A:$A,$A605),0),"")</f>
        <v>2390</v>
      </c>
    </row>
    <row r="606" spans="1:4" x14ac:dyDescent="0.2">
      <c r="A606" s="319" t="s">
        <v>1211</v>
      </c>
      <c r="B606" s="320" t="s">
        <v>1212</v>
      </c>
      <c r="C606" s="319" t="s">
        <v>906</v>
      </c>
      <c r="D606" s="321" t="str">
        <f>IFERROR(ROUND(AVERAGEIFS('PRECIOS VICTOR'!$D:$D,'PRECIOS VICTOR'!$A:$A,$A606),0),"")</f>
        <v/>
      </c>
    </row>
    <row r="607" spans="1:4" x14ac:dyDescent="0.2">
      <c r="A607" s="319" t="s">
        <v>1732</v>
      </c>
      <c r="B607" s="320" t="s">
        <v>1733</v>
      </c>
      <c r="C607" s="319" t="s">
        <v>942</v>
      </c>
      <c r="D607" s="321" t="str">
        <f>IFERROR(ROUND(AVERAGEIFS('PRECIOS VICTOR'!$D:$D,'PRECIOS VICTOR'!$A:$A,$A607),0),"")</f>
        <v/>
      </c>
    </row>
    <row r="608" spans="1:4" x14ac:dyDescent="0.2">
      <c r="A608" s="319" t="s">
        <v>820</v>
      </c>
      <c r="B608" s="320" t="s">
        <v>577</v>
      </c>
      <c r="C608" s="319" t="s">
        <v>111</v>
      </c>
      <c r="D608" s="321">
        <f>IFERROR(ROUND(AVERAGEIFS('PRECIOS VICTOR'!$D:$D,'PRECIOS VICTOR'!$A:$A,$A608),0),"")</f>
        <v>1044</v>
      </c>
    </row>
    <row r="609" spans="1:4" x14ac:dyDescent="0.2">
      <c r="A609" s="319" t="s">
        <v>1734</v>
      </c>
      <c r="B609" s="320" t="s">
        <v>1735</v>
      </c>
      <c r="C609" s="319" t="s">
        <v>111</v>
      </c>
      <c r="D609" s="321" t="str">
        <f>IFERROR(ROUND(AVERAGEIFS('PRECIOS VICTOR'!$D:$D,'PRECIOS VICTOR'!$A:$A,$A609),0),"")</f>
        <v/>
      </c>
    </row>
    <row r="610" spans="1:4" x14ac:dyDescent="0.2">
      <c r="A610" s="319" t="s">
        <v>800</v>
      </c>
      <c r="B610" s="320" t="s">
        <v>1091</v>
      </c>
      <c r="C610" s="319" t="s">
        <v>906</v>
      </c>
      <c r="D610" s="321">
        <f>IFERROR(ROUND(AVERAGEIFS('PRECIOS VICTOR'!$D:$D,'PRECIOS VICTOR'!$A:$A,$A610),0),"")</f>
        <v>4106</v>
      </c>
    </row>
    <row r="611" spans="1:4" x14ac:dyDescent="0.2">
      <c r="A611" s="319" t="s">
        <v>764</v>
      </c>
      <c r="B611" s="320" t="s">
        <v>990</v>
      </c>
      <c r="C611" s="319" t="s">
        <v>906</v>
      </c>
      <c r="D611" s="321">
        <f>IFERROR(ROUND(AVERAGEIFS('PRECIOS VICTOR'!$D:$D,'PRECIOS VICTOR'!$A:$A,$A611),0),"")</f>
        <v>5750</v>
      </c>
    </row>
    <row r="612" spans="1:4" x14ac:dyDescent="0.2">
      <c r="A612" s="319" t="s">
        <v>770</v>
      </c>
      <c r="B612" s="320" t="s">
        <v>554</v>
      </c>
      <c r="C612" s="319" t="s">
        <v>15</v>
      </c>
      <c r="D612" s="321" t="str">
        <f>IFERROR(ROUND(AVERAGEIFS('PRECIOS VICTOR'!$D:$D,'PRECIOS VICTOR'!$A:$A,$A612),0),"")</f>
        <v/>
      </c>
    </row>
    <row r="613" spans="1:4" x14ac:dyDescent="0.2">
      <c r="A613" s="319" t="s">
        <v>1213</v>
      </c>
      <c r="B613" s="320" t="s">
        <v>652</v>
      </c>
      <c r="C613" s="319" t="s">
        <v>1007</v>
      </c>
      <c r="D613" s="321">
        <f>IFERROR(ROUND(AVERAGEIFS('PRECIOS VICTOR'!$D:$D,'PRECIOS VICTOR'!$A:$A,$A613),0),"")</f>
        <v>595</v>
      </c>
    </row>
    <row r="614" spans="1:4" x14ac:dyDescent="0.2">
      <c r="A614" s="319" t="s">
        <v>1214</v>
      </c>
      <c r="B614" s="320" t="s">
        <v>1215</v>
      </c>
      <c r="C614" s="319" t="s">
        <v>111</v>
      </c>
      <c r="D614" s="321" t="str">
        <f>IFERROR(ROUND(AVERAGEIFS('PRECIOS VICTOR'!$D:$D,'PRECIOS VICTOR'!$A:$A,$A614),0),"")</f>
        <v/>
      </c>
    </row>
    <row r="615" spans="1:4" x14ac:dyDescent="0.2">
      <c r="A615" s="319" t="s">
        <v>897</v>
      </c>
      <c r="B615" s="320" t="s">
        <v>218</v>
      </c>
      <c r="C615" s="319" t="s">
        <v>906</v>
      </c>
      <c r="D615" s="321">
        <f>IFERROR(ROUND(AVERAGEIFS('PRECIOS VICTOR'!$D:$D,'PRECIOS VICTOR'!$A:$A,$A615),0),"")</f>
        <v>1287</v>
      </c>
    </row>
    <row r="616" spans="1:4" x14ac:dyDescent="0.2">
      <c r="A616" s="319" t="s">
        <v>899</v>
      </c>
      <c r="B616" s="320" t="s">
        <v>368</v>
      </c>
      <c r="C616" s="319" t="s">
        <v>15</v>
      </c>
      <c r="D616" s="321">
        <f>IFERROR(ROUND(AVERAGEIFS('PRECIOS VICTOR'!$D:$D,'PRECIOS VICTOR'!$A:$A,$A616),0),"")</f>
        <v>1942</v>
      </c>
    </row>
    <row r="617" spans="1:4" x14ac:dyDescent="0.2">
      <c r="A617" s="319" t="s">
        <v>1736</v>
      </c>
      <c r="B617" s="320" t="s">
        <v>1737</v>
      </c>
      <c r="C617" s="319" t="s">
        <v>15</v>
      </c>
      <c r="D617" s="321" t="str">
        <f>IFERROR(ROUND(AVERAGEIFS('PRECIOS VICTOR'!$D:$D,'PRECIOS VICTOR'!$A:$A,$A617),0),"")</f>
        <v/>
      </c>
    </row>
    <row r="618" spans="1:4" x14ac:dyDescent="0.2">
      <c r="A618" s="319" t="s">
        <v>1216</v>
      </c>
      <c r="B618" s="320" t="s">
        <v>1217</v>
      </c>
      <c r="C618" s="319" t="s">
        <v>111</v>
      </c>
      <c r="D618" s="321">
        <f>IFERROR(ROUND(AVERAGEIFS('PRECIOS VICTOR'!$D:$D,'PRECIOS VICTOR'!$A:$A,$A618),0),"")</f>
        <v>1059</v>
      </c>
    </row>
    <row r="619" spans="1:4" x14ac:dyDescent="0.2">
      <c r="A619" s="319" t="s">
        <v>1738</v>
      </c>
      <c r="B619" s="320" t="s">
        <v>1739</v>
      </c>
      <c r="C619" s="319" t="s">
        <v>111</v>
      </c>
      <c r="D619" s="321">
        <f>IFERROR(ROUND(AVERAGEIFS('PRECIOS VICTOR'!$D:$D,'PRECIOS VICTOR'!$A:$A,$A619),0),"")</f>
        <v>4480</v>
      </c>
    </row>
    <row r="620" spans="1:4" x14ac:dyDescent="0.2">
      <c r="A620" s="319" t="s">
        <v>1740</v>
      </c>
      <c r="B620" s="320" t="s">
        <v>1741</v>
      </c>
      <c r="C620" s="319" t="s">
        <v>906</v>
      </c>
      <c r="D620" s="321" t="str">
        <f>IFERROR(ROUND(AVERAGEIFS('PRECIOS VICTOR'!$D:$D,'PRECIOS VICTOR'!$A:$A,$A620),0),"")</f>
        <v/>
      </c>
    </row>
    <row r="621" spans="1:4" x14ac:dyDescent="0.2">
      <c r="A621" s="319" t="s">
        <v>1742</v>
      </c>
      <c r="B621" s="320" t="s">
        <v>1743</v>
      </c>
      <c r="C621" s="319" t="s">
        <v>906</v>
      </c>
      <c r="D621" s="321" t="str">
        <f>IFERROR(ROUND(AVERAGEIFS('PRECIOS VICTOR'!$D:$D,'PRECIOS VICTOR'!$A:$A,$A621),0),"")</f>
        <v/>
      </c>
    </row>
    <row r="622" spans="1:4" x14ac:dyDescent="0.2">
      <c r="A622" s="319" t="s">
        <v>1744</v>
      </c>
      <c r="B622" s="320" t="s">
        <v>1745</v>
      </c>
      <c r="C622" s="319" t="s">
        <v>906</v>
      </c>
      <c r="D622" s="321" t="str">
        <f>IFERROR(ROUND(AVERAGEIFS('PRECIOS VICTOR'!$D:$D,'PRECIOS VICTOR'!$A:$A,$A622),0),"")</f>
        <v/>
      </c>
    </row>
    <row r="623" spans="1:4" x14ac:dyDescent="0.2">
      <c r="A623" s="319" t="s">
        <v>856</v>
      </c>
      <c r="B623" s="320" t="s">
        <v>595</v>
      </c>
      <c r="C623" s="319" t="s">
        <v>906</v>
      </c>
      <c r="D623" s="321" t="str">
        <f>IFERROR(ROUND(AVERAGEIFS('PRECIOS VICTOR'!$D:$D,'PRECIOS VICTOR'!$A:$A,$A623),0),"")</f>
        <v/>
      </c>
    </row>
    <row r="624" spans="1:4" x14ac:dyDescent="0.2">
      <c r="A624" s="319" t="s">
        <v>1218</v>
      </c>
      <c r="B624" s="320" t="s">
        <v>1219</v>
      </c>
      <c r="C624" s="319" t="s">
        <v>15</v>
      </c>
      <c r="D624" s="321">
        <f>IFERROR(ROUND(AVERAGEIFS('PRECIOS VICTOR'!$D:$D,'PRECIOS VICTOR'!$A:$A,$A624),0),"")</f>
        <v>5355</v>
      </c>
    </row>
    <row r="625" spans="1:4" x14ac:dyDescent="0.2">
      <c r="A625" s="319" t="s">
        <v>660</v>
      </c>
      <c r="B625" s="320" t="s">
        <v>644</v>
      </c>
      <c r="C625" s="319" t="s">
        <v>111</v>
      </c>
      <c r="D625" s="321">
        <f>IFERROR(ROUND(AVERAGEIFS('PRECIOS VICTOR'!$D:$D,'PRECIOS VICTOR'!$A:$A,$A625),0),"")</f>
        <v>374</v>
      </c>
    </row>
    <row r="626" spans="1:4" x14ac:dyDescent="0.2">
      <c r="A626" s="319" t="s">
        <v>774</v>
      </c>
      <c r="B626" s="320" t="s">
        <v>555</v>
      </c>
      <c r="C626" s="319" t="s">
        <v>111</v>
      </c>
      <c r="D626" s="321">
        <f>IFERROR(ROUND(AVERAGEIFS('PRECIOS VICTOR'!$D:$D,'PRECIOS VICTOR'!$A:$A,$A626),0),"")</f>
        <v>5160</v>
      </c>
    </row>
    <row r="627" spans="1:4" x14ac:dyDescent="0.2">
      <c r="A627" s="319" t="s">
        <v>1746</v>
      </c>
      <c r="B627" s="320" t="s">
        <v>1747</v>
      </c>
      <c r="C627" s="319" t="s">
        <v>15</v>
      </c>
      <c r="D627" s="321">
        <f>IFERROR(ROUND(AVERAGEIFS('PRECIOS VICTOR'!$D:$D,'PRECIOS VICTOR'!$A:$A,$A627),0),"")</f>
        <v>2500</v>
      </c>
    </row>
    <row r="628" spans="1:4" x14ac:dyDescent="0.2">
      <c r="A628" s="319" t="s">
        <v>1748</v>
      </c>
      <c r="B628" s="320" t="s">
        <v>1749</v>
      </c>
      <c r="C628" s="319" t="s">
        <v>956</v>
      </c>
      <c r="D628" s="321" t="str">
        <f>IFERROR(ROUND(AVERAGEIFS('PRECIOS VICTOR'!$D:$D,'PRECIOS VICTOR'!$A:$A,$A628),0),"")</f>
        <v/>
      </c>
    </row>
    <row r="629" spans="1:4" x14ac:dyDescent="0.2">
      <c r="A629" s="319" t="s">
        <v>1220</v>
      </c>
      <c r="B629" s="320" t="s">
        <v>1221</v>
      </c>
      <c r="C629" s="319" t="s">
        <v>111</v>
      </c>
      <c r="D629" s="321">
        <f>IFERROR(ROUND(AVERAGEIFS('PRECIOS VICTOR'!$D:$D,'PRECIOS VICTOR'!$A:$A,$A629),0),"")</f>
        <v>7750</v>
      </c>
    </row>
    <row r="630" spans="1:4" x14ac:dyDescent="0.2">
      <c r="A630" s="319" t="s">
        <v>1750</v>
      </c>
      <c r="B630" s="320" t="s">
        <v>1499</v>
      </c>
      <c r="C630" s="319" t="s">
        <v>906</v>
      </c>
      <c r="D630" s="321" t="str">
        <f>IFERROR(ROUND(AVERAGEIFS('PRECIOS VICTOR'!$D:$D,'PRECIOS VICTOR'!$A:$A,$A630),0),"")</f>
        <v/>
      </c>
    </row>
    <row r="631" spans="1:4" x14ac:dyDescent="0.2">
      <c r="A631" s="319" t="s">
        <v>1751</v>
      </c>
      <c r="B631" s="320" t="s">
        <v>1735</v>
      </c>
      <c r="C631" s="319" t="s">
        <v>111</v>
      </c>
      <c r="D631" s="321">
        <f>IFERROR(ROUND(AVERAGEIFS('PRECIOS VICTOR'!$D:$D,'PRECIOS VICTOR'!$A:$A,$A631),0),"")</f>
        <v>300</v>
      </c>
    </row>
    <row r="632" spans="1:4" x14ac:dyDescent="0.2">
      <c r="A632" s="319" t="s">
        <v>691</v>
      </c>
      <c r="B632" s="320" t="s">
        <v>962</v>
      </c>
      <c r="C632" s="319" t="s">
        <v>1007</v>
      </c>
      <c r="D632" s="321">
        <f>IFERROR(ROUND(AVERAGEIFS('PRECIOS VICTOR'!$D:$D,'PRECIOS VICTOR'!$A:$A,$A632),0),"")</f>
        <v>647</v>
      </c>
    </row>
    <row r="633" spans="1:4" x14ac:dyDescent="0.2">
      <c r="A633" s="319" t="s">
        <v>369</v>
      </c>
      <c r="B633" s="320" t="s">
        <v>470</v>
      </c>
      <c r="C633" s="319" t="s">
        <v>947</v>
      </c>
      <c r="D633" s="321">
        <f>IFERROR(ROUND(AVERAGEIFS('PRECIOS VICTOR'!$D:$D,'PRECIOS VICTOR'!$A:$A,$A633),0),"")</f>
        <v>1550</v>
      </c>
    </row>
    <row r="634" spans="1:4" x14ac:dyDescent="0.2">
      <c r="A634" s="319" t="s">
        <v>1752</v>
      </c>
      <c r="B634" s="320" t="s">
        <v>1753</v>
      </c>
      <c r="C634" s="319" t="s">
        <v>906</v>
      </c>
      <c r="D634" s="321">
        <f>IFERROR(ROUND(AVERAGEIFS('PRECIOS VICTOR'!$D:$D,'PRECIOS VICTOR'!$A:$A,$A634),0),"")</f>
        <v>1596</v>
      </c>
    </row>
    <row r="635" spans="1:4" x14ac:dyDescent="0.2">
      <c r="A635" s="319" t="s">
        <v>738</v>
      </c>
      <c r="B635" s="320" t="s">
        <v>737</v>
      </c>
      <c r="C635" s="319" t="s">
        <v>906</v>
      </c>
      <c r="D635" s="321" t="str">
        <f>IFERROR(ROUND(AVERAGEIFS('PRECIOS VICTOR'!$D:$D,'PRECIOS VICTOR'!$A:$A,$A635),0),"")</f>
        <v/>
      </c>
    </row>
    <row r="636" spans="1:4" x14ac:dyDescent="0.2">
      <c r="A636" s="319" t="s">
        <v>677</v>
      </c>
      <c r="B636" s="320" t="s">
        <v>455</v>
      </c>
      <c r="C636" s="319" t="s">
        <v>111</v>
      </c>
      <c r="D636" s="321" t="str">
        <f>IFERROR(ROUND(AVERAGEIFS('PRECIOS VICTOR'!$D:$D,'PRECIOS VICTOR'!$A:$A,$A636),0),"")</f>
        <v/>
      </c>
    </row>
    <row r="637" spans="1:4" x14ac:dyDescent="0.2">
      <c r="A637" s="319" t="s">
        <v>1754</v>
      </c>
      <c r="B637" s="320" t="s">
        <v>1755</v>
      </c>
      <c r="C637" s="319" t="s">
        <v>906</v>
      </c>
      <c r="D637" s="321">
        <f>IFERROR(ROUND(AVERAGEIFS('PRECIOS VICTOR'!$D:$D,'PRECIOS VICTOR'!$A:$A,$A637),0),"")</f>
        <v>3890</v>
      </c>
    </row>
    <row r="638" spans="1:4" x14ac:dyDescent="0.2">
      <c r="A638" s="319" t="s">
        <v>1756</v>
      </c>
      <c r="B638" s="320" t="s">
        <v>1757</v>
      </c>
      <c r="C638" s="319" t="s">
        <v>111</v>
      </c>
      <c r="D638" s="321" t="str">
        <f>IFERROR(ROUND(AVERAGEIFS('PRECIOS VICTOR'!$D:$D,'PRECIOS VICTOR'!$A:$A,$A638),0),"")</f>
        <v/>
      </c>
    </row>
    <row r="639" spans="1:4" x14ac:dyDescent="0.2">
      <c r="A639" s="319" t="s">
        <v>1758</v>
      </c>
      <c r="B639" s="320" t="s">
        <v>1747</v>
      </c>
      <c r="C639" s="319" t="s">
        <v>111</v>
      </c>
      <c r="D639" s="321" t="str">
        <f>IFERROR(ROUND(AVERAGEIFS('PRECIOS VICTOR'!$D:$D,'PRECIOS VICTOR'!$A:$A,$A639),0),"")</f>
        <v/>
      </c>
    </row>
    <row r="640" spans="1:4" x14ac:dyDescent="0.2">
      <c r="A640" s="319" t="s">
        <v>1759</v>
      </c>
      <c r="B640" s="320" t="s">
        <v>1760</v>
      </c>
      <c r="C640" s="319" t="s">
        <v>111</v>
      </c>
      <c r="D640" s="321" t="str">
        <f>IFERROR(ROUND(AVERAGEIFS('PRECIOS VICTOR'!$D:$D,'PRECIOS VICTOR'!$A:$A,$A640),0),"")</f>
        <v/>
      </c>
    </row>
    <row r="641" spans="1:4" x14ac:dyDescent="0.2">
      <c r="A641" s="319" t="s">
        <v>1761</v>
      </c>
      <c r="B641" s="320" t="s">
        <v>1762</v>
      </c>
      <c r="C641" s="319" t="s">
        <v>111</v>
      </c>
      <c r="D641" s="321" t="str">
        <f>IFERROR(ROUND(AVERAGEIFS('PRECIOS VICTOR'!$D:$D,'PRECIOS VICTOR'!$A:$A,$A641),0),"")</f>
        <v/>
      </c>
    </row>
    <row r="642" spans="1:4" x14ac:dyDescent="0.2">
      <c r="A642" s="319" t="s">
        <v>1763</v>
      </c>
      <c r="B642" s="320" t="s">
        <v>1764</v>
      </c>
      <c r="C642" s="319" t="s">
        <v>906</v>
      </c>
      <c r="D642" s="321">
        <f>IFERROR(ROUND(AVERAGEIFS('PRECIOS VICTOR'!$D:$D,'PRECIOS VICTOR'!$A:$A,$A642),0),"")</f>
        <v>9096</v>
      </c>
    </row>
    <row r="643" spans="1:4" x14ac:dyDescent="0.2">
      <c r="A643" s="319" t="s">
        <v>1765</v>
      </c>
      <c r="B643" s="320" t="s">
        <v>520</v>
      </c>
      <c r="C643" s="319" t="s">
        <v>111</v>
      </c>
      <c r="D643" s="321">
        <f>IFERROR(ROUND(AVERAGEIFS('PRECIOS VICTOR'!$D:$D,'PRECIOS VICTOR'!$A:$A,$A643),0),"")</f>
        <v>1850</v>
      </c>
    </row>
    <row r="644" spans="1:4" x14ac:dyDescent="0.2">
      <c r="A644" s="319" t="s">
        <v>1766</v>
      </c>
      <c r="B644" s="320" t="s">
        <v>1767</v>
      </c>
      <c r="C644" s="319" t="s">
        <v>111</v>
      </c>
      <c r="D644" s="321" t="str">
        <f>IFERROR(ROUND(AVERAGEIFS('PRECIOS VICTOR'!$D:$D,'PRECIOS VICTOR'!$A:$A,$A644),0),"")</f>
        <v/>
      </c>
    </row>
    <row r="645" spans="1:4" x14ac:dyDescent="0.2">
      <c r="A645" s="319" t="s">
        <v>833</v>
      </c>
      <c r="B645" s="320" t="s">
        <v>445</v>
      </c>
      <c r="C645" s="319" t="s">
        <v>111</v>
      </c>
      <c r="D645" s="321" t="str">
        <f>IFERROR(ROUND(AVERAGEIFS('PRECIOS VICTOR'!$D:$D,'PRECIOS VICTOR'!$A:$A,$A645),0),"")</f>
        <v/>
      </c>
    </row>
    <row r="646" spans="1:4" x14ac:dyDescent="0.2">
      <c r="A646" s="319" t="s">
        <v>762</v>
      </c>
      <c r="B646" s="320" t="s">
        <v>550</v>
      </c>
      <c r="C646" s="319" t="s">
        <v>111</v>
      </c>
      <c r="D646" s="321" t="str">
        <f>IFERROR(ROUND(AVERAGEIFS('PRECIOS VICTOR'!$D:$D,'PRECIOS VICTOR'!$A:$A,$A646),0),"")</f>
        <v/>
      </c>
    </row>
    <row r="647" spans="1:4" x14ac:dyDescent="0.2">
      <c r="A647" s="319" t="s">
        <v>671</v>
      </c>
      <c r="B647" s="320" t="s">
        <v>488</v>
      </c>
      <c r="C647" s="319" t="s">
        <v>111</v>
      </c>
      <c r="D647" s="321">
        <f>IFERROR(ROUND(AVERAGEIFS('PRECIOS VICTOR'!$D:$D,'PRECIOS VICTOR'!$A:$A,$A647),0),"")</f>
        <v>4030</v>
      </c>
    </row>
    <row r="648" spans="1:4" x14ac:dyDescent="0.2">
      <c r="A648" s="319" t="s">
        <v>1222</v>
      </c>
      <c r="B648" s="320" t="s">
        <v>1223</v>
      </c>
      <c r="C648" s="319" t="s">
        <v>947</v>
      </c>
      <c r="D648" s="321" t="str">
        <f>IFERROR(ROUND(AVERAGEIFS('PRECIOS VICTOR'!$D:$D,'PRECIOS VICTOR'!$A:$A,$A648),0),"")</f>
        <v/>
      </c>
    </row>
    <row r="649" spans="1:4" x14ac:dyDescent="0.2">
      <c r="A649" s="319" t="s">
        <v>1768</v>
      </c>
      <c r="B649" s="320" t="s">
        <v>1769</v>
      </c>
      <c r="C649" s="319" t="s">
        <v>15</v>
      </c>
      <c r="D649" s="321" t="str">
        <f>IFERROR(ROUND(AVERAGEIFS('PRECIOS VICTOR'!$D:$D,'PRECIOS VICTOR'!$A:$A,$A649),0),"")</f>
        <v/>
      </c>
    </row>
    <row r="650" spans="1:4" x14ac:dyDescent="0.2">
      <c r="A650" s="319" t="s">
        <v>1770</v>
      </c>
      <c r="B650" s="320" t="s">
        <v>1771</v>
      </c>
      <c r="C650" s="319" t="s">
        <v>15</v>
      </c>
      <c r="D650" s="321" t="str">
        <f>IFERROR(ROUND(AVERAGEIFS('PRECIOS VICTOR'!$D:$D,'PRECIOS VICTOR'!$A:$A,$A650),0),"")</f>
        <v/>
      </c>
    </row>
    <row r="651" spans="1:4" x14ac:dyDescent="0.2">
      <c r="A651" s="319" t="s">
        <v>1224</v>
      </c>
      <c r="B651" s="320" t="s">
        <v>1225</v>
      </c>
      <c r="C651" s="319" t="s">
        <v>906</v>
      </c>
      <c r="D651" s="321">
        <f>IFERROR(ROUND(AVERAGEIFS('PRECIOS VICTOR'!$D:$D,'PRECIOS VICTOR'!$A:$A,$A651),0),"")</f>
        <v>7990</v>
      </c>
    </row>
    <row r="652" spans="1:4" x14ac:dyDescent="0.2">
      <c r="A652" s="319" t="s">
        <v>1226</v>
      </c>
      <c r="B652" s="320" t="s">
        <v>1227</v>
      </c>
      <c r="C652" s="319" t="s">
        <v>111</v>
      </c>
      <c r="D652" s="321">
        <f>IFERROR(ROUND(AVERAGEIFS('PRECIOS VICTOR'!$D:$D,'PRECIOS VICTOR'!$A:$A,$A652),0),"")</f>
        <v>1450</v>
      </c>
    </row>
    <row r="653" spans="1:4" x14ac:dyDescent="0.2">
      <c r="A653" s="319" t="s">
        <v>1228</v>
      </c>
      <c r="B653" s="320" t="s">
        <v>1229</v>
      </c>
      <c r="C653" s="319" t="s">
        <v>111</v>
      </c>
      <c r="D653" s="321">
        <f>IFERROR(ROUND(AVERAGEIFS('PRECIOS VICTOR'!$D:$D,'PRECIOS VICTOR'!$A:$A,$A653),0),"")</f>
        <v>2538</v>
      </c>
    </row>
    <row r="654" spans="1:4" x14ac:dyDescent="0.2">
      <c r="A654" s="319" t="s">
        <v>1230</v>
      </c>
      <c r="B654" s="320" t="s">
        <v>1231</v>
      </c>
      <c r="C654" s="319" t="s">
        <v>111</v>
      </c>
      <c r="D654" s="321">
        <f>IFERROR(ROUND(AVERAGEIFS('PRECIOS VICTOR'!$D:$D,'PRECIOS VICTOR'!$A:$A,$A654),0),"")</f>
        <v>805</v>
      </c>
    </row>
    <row r="655" spans="1:4" x14ac:dyDescent="0.2">
      <c r="A655" s="319" t="s">
        <v>1232</v>
      </c>
      <c r="B655" s="320" t="s">
        <v>1233</v>
      </c>
      <c r="C655" s="319" t="s">
        <v>111</v>
      </c>
      <c r="D655" s="321">
        <f>IFERROR(ROUND(AVERAGEIFS('PRECIOS VICTOR'!$D:$D,'PRECIOS VICTOR'!$A:$A,$A655),0),"")</f>
        <v>731</v>
      </c>
    </row>
    <row r="656" spans="1:4" x14ac:dyDescent="0.2">
      <c r="A656" s="319" t="s">
        <v>1234</v>
      </c>
      <c r="B656" s="320" t="s">
        <v>1235</v>
      </c>
      <c r="C656" s="319" t="s">
        <v>15</v>
      </c>
      <c r="D656" s="321">
        <f>IFERROR(ROUND(AVERAGEIFS('PRECIOS VICTOR'!$D:$D,'PRECIOS VICTOR'!$A:$A,$A656),0),"")</f>
        <v>2618</v>
      </c>
    </row>
    <row r="657" spans="1:4" x14ac:dyDescent="0.2">
      <c r="A657" s="319" t="s">
        <v>1236</v>
      </c>
      <c r="B657" s="320" t="s">
        <v>1237</v>
      </c>
      <c r="C657" s="319" t="s">
        <v>15</v>
      </c>
      <c r="D657" s="321">
        <f>IFERROR(ROUND(AVERAGEIFS('PRECIOS VICTOR'!$D:$D,'PRECIOS VICTOR'!$A:$A,$A657),0),"")</f>
        <v>2737</v>
      </c>
    </row>
    <row r="658" spans="1:4" x14ac:dyDescent="0.2">
      <c r="A658" s="319" t="s">
        <v>1238</v>
      </c>
      <c r="B658" s="320" t="s">
        <v>1239</v>
      </c>
      <c r="C658" s="319" t="s">
        <v>15</v>
      </c>
      <c r="D658" s="321">
        <f>IFERROR(ROUND(AVERAGEIFS('PRECIOS VICTOR'!$D:$D,'PRECIOS VICTOR'!$A:$A,$A658),0),"")</f>
        <v>2664</v>
      </c>
    </row>
    <row r="659" spans="1:4" x14ac:dyDescent="0.2">
      <c r="A659" s="312" t="s">
        <v>1772</v>
      </c>
      <c r="B659" s="313" t="s">
        <v>1078</v>
      </c>
      <c r="C659" s="312" t="s">
        <v>981</v>
      </c>
      <c r="D659" s="321" t="str">
        <f>IFERROR(ROUND(AVERAGEIFS('PRECIOS VICTOR'!$D:$D,'PRECIOS VICTOR'!$A:$A,$A659),0),"")</f>
        <v/>
      </c>
    </row>
    <row r="660" spans="1:4" x14ac:dyDescent="0.2">
      <c r="A660" s="312" t="s">
        <v>1772</v>
      </c>
      <c r="B660" s="313" t="s">
        <v>1078</v>
      </c>
      <c r="C660" s="312" t="s">
        <v>981</v>
      </c>
      <c r="D660" s="321" t="str">
        <f>IFERROR(ROUND(AVERAGEIFS('PRECIOS VICTOR'!$D:$D,'PRECIOS VICTOR'!$A:$A,$A660),0),"")</f>
        <v/>
      </c>
    </row>
    <row r="661" spans="1:4" x14ac:dyDescent="0.2">
      <c r="A661" s="312" t="s">
        <v>1773</v>
      </c>
      <c r="B661" s="313" t="s">
        <v>1774</v>
      </c>
      <c r="C661" s="312" t="s">
        <v>15</v>
      </c>
      <c r="D661" s="321" t="str">
        <f>IFERROR(ROUND(AVERAGEIFS('PRECIOS VICTOR'!$D:$D,'PRECIOS VICTOR'!$A:$A,$A661),0),"")</f>
        <v/>
      </c>
    </row>
    <row r="662" spans="1:4" x14ac:dyDescent="0.2">
      <c r="A662" s="312" t="s">
        <v>1775</v>
      </c>
      <c r="B662" s="313" t="s">
        <v>1776</v>
      </c>
      <c r="C662" s="312" t="s">
        <v>15</v>
      </c>
      <c r="D662" s="321" t="str">
        <f>IFERROR(ROUND(AVERAGEIFS('PRECIOS VICTOR'!$D:$D,'PRECIOS VICTOR'!$A:$A,$A662),0),"")</f>
        <v/>
      </c>
    </row>
    <row r="663" spans="1:4" x14ac:dyDescent="0.2">
      <c r="A663" s="312" t="s">
        <v>1777</v>
      </c>
      <c r="B663" s="313" t="s">
        <v>1016</v>
      </c>
      <c r="C663" s="312" t="s">
        <v>906</v>
      </c>
      <c r="D663" s="321" t="str">
        <f>IFERROR(ROUND(AVERAGEIFS('PRECIOS VICTOR'!$D:$D,'PRECIOS VICTOR'!$A:$A,$A663),0),"")</f>
        <v/>
      </c>
    </row>
    <row r="664" spans="1:4" x14ac:dyDescent="0.2">
      <c r="A664" s="312" t="s">
        <v>1020</v>
      </c>
      <c r="B664" s="313" t="s">
        <v>1021</v>
      </c>
      <c r="C664" s="312" t="s">
        <v>942</v>
      </c>
      <c r="D664" s="321" t="str">
        <f>IFERROR(ROUND(AVERAGEIFS('PRECIOS VICTOR'!$D:$D,'PRECIOS VICTOR'!$A:$A,$A664),0),"")</f>
        <v/>
      </c>
    </row>
    <row r="665" spans="1:4" x14ac:dyDescent="0.2">
      <c r="A665" s="312" t="s">
        <v>1778</v>
      </c>
      <c r="B665" s="313" t="s">
        <v>1779</v>
      </c>
      <c r="C665" s="312" t="s">
        <v>15</v>
      </c>
      <c r="D665" s="321" t="str">
        <f>IFERROR(ROUND(AVERAGEIFS('PRECIOS VICTOR'!$D:$D,'PRECIOS VICTOR'!$A:$A,$A665),0),"")</f>
        <v/>
      </c>
    </row>
    <row r="666" spans="1:4" x14ac:dyDescent="0.2">
      <c r="A666" s="312" t="s">
        <v>1780</v>
      </c>
      <c r="B666" s="313" t="s">
        <v>1781</v>
      </c>
      <c r="C666" s="312" t="s">
        <v>947</v>
      </c>
      <c r="D666" s="321" t="str">
        <f>IFERROR(ROUND(AVERAGEIFS('PRECIOS VICTOR'!$D:$D,'PRECIOS VICTOR'!$A:$A,$A666),0),"")</f>
        <v/>
      </c>
    </row>
    <row r="667" spans="1:4" x14ac:dyDescent="0.2">
      <c r="A667" s="312" t="s">
        <v>1780</v>
      </c>
      <c r="B667" s="313" t="s">
        <v>1781</v>
      </c>
      <c r="C667" s="312" t="s">
        <v>947</v>
      </c>
      <c r="D667" s="321" t="str">
        <f>IFERROR(ROUND(AVERAGEIFS('PRECIOS VICTOR'!$D:$D,'PRECIOS VICTOR'!$A:$A,$A667),0),"")</f>
        <v/>
      </c>
    </row>
    <row r="668" spans="1:4" x14ac:dyDescent="0.2">
      <c r="A668" s="312" t="s">
        <v>1782</v>
      </c>
      <c r="B668" s="313" t="s">
        <v>1783</v>
      </c>
      <c r="C668" s="312" t="s">
        <v>15</v>
      </c>
      <c r="D668" s="321" t="str">
        <f>IFERROR(ROUND(AVERAGEIFS('PRECIOS VICTOR'!$D:$D,'PRECIOS VICTOR'!$A:$A,$A668),0),"")</f>
        <v/>
      </c>
    </row>
    <row r="669" spans="1:4" x14ac:dyDescent="0.2">
      <c r="A669" s="312" t="s">
        <v>1784</v>
      </c>
      <c r="B669" s="313" t="s">
        <v>1785</v>
      </c>
      <c r="C669" s="312" t="s">
        <v>15</v>
      </c>
      <c r="D669" s="321" t="str">
        <f>IFERROR(ROUND(AVERAGEIFS('PRECIOS VICTOR'!$D:$D,'PRECIOS VICTOR'!$A:$A,$A669),0),"")</f>
        <v/>
      </c>
    </row>
    <row r="670" spans="1:4" x14ac:dyDescent="0.2">
      <c r="A670" s="312" t="s">
        <v>1786</v>
      </c>
      <c r="B670" s="313" t="s">
        <v>1787</v>
      </c>
      <c r="C670" s="312" t="s">
        <v>15</v>
      </c>
      <c r="D670" s="321" t="str">
        <f>IFERROR(ROUND(AVERAGEIFS('PRECIOS VICTOR'!$D:$D,'PRECIOS VICTOR'!$A:$A,$A670),0),"")</f>
        <v/>
      </c>
    </row>
    <row r="671" spans="1:4" x14ac:dyDescent="0.2">
      <c r="A671" s="312" t="s">
        <v>1788</v>
      </c>
      <c r="B671" s="313" t="s">
        <v>1789</v>
      </c>
      <c r="C671" s="312" t="s">
        <v>1007</v>
      </c>
      <c r="D671" s="321" t="str">
        <f>IFERROR(ROUND(AVERAGEIFS('PRECIOS VICTOR'!$D:$D,'PRECIOS VICTOR'!$A:$A,$A671),0),"")</f>
        <v/>
      </c>
    </row>
    <row r="672" spans="1:4" x14ac:dyDescent="0.2">
      <c r="A672" s="312" t="s">
        <v>1137</v>
      </c>
      <c r="B672" s="313" t="s">
        <v>1138</v>
      </c>
      <c r="C672" s="312" t="s">
        <v>973</v>
      </c>
      <c r="D672" s="321" t="str">
        <f>IFERROR(ROUND(AVERAGEIFS('PRECIOS VICTOR'!$D:$D,'PRECIOS VICTOR'!$A:$A,$A672),0),"")</f>
        <v/>
      </c>
    </row>
    <row r="673" spans="1:4" x14ac:dyDescent="0.2">
      <c r="A673" s="312" t="s">
        <v>1790</v>
      </c>
      <c r="B673" s="313" t="s">
        <v>1791</v>
      </c>
      <c r="C673" s="312" t="s">
        <v>15</v>
      </c>
      <c r="D673" s="321" t="str">
        <f>IFERROR(ROUND(AVERAGEIFS('PRECIOS VICTOR'!$D:$D,'PRECIOS VICTOR'!$A:$A,$A673),0),"")</f>
        <v/>
      </c>
    </row>
    <row r="674" spans="1:4" x14ac:dyDescent="0.2">
      <c r="A674" s="312" t="s">
        <v>1792</v>
      </c>
      <c r="B674" s="313" t="s">
        <v>1793</v>
      </c>
      <c r="C674" s="312" t="s">
        <v>111</v>
      </c>
      <c r="D674" s="321" t="str">
        <f>IFERROR(ROUND(AVERAGEIFS('PRECIOS VICTOR'!$D:$D,'PRECIOS VICTOR'!$A:$A,$A674),0),"")</f>
        <v/>
      </c>
    </row>
    <row r="675" spans="1:4" x14ac:dyDescent="0.2">
      <c r="A675" s="312" t="s">
        <v>1794</v>
      </c>
      <c r="B675" s="313" t="s">
        <v>1795</v>
      </c>
      <c r="C675" s="312" t="s">
        <v>15</v>
      </c>
      <c r="D675" s="321" t="str">
        <f>IFERROR(ROUND(AVERAGEIFS('PRECIOS VICTOR'!$D:$D,'PRECIOS VICTOR'!$A:$A,$A675),0),"")</f>
        <v/>
      </c>
    </row>
    <row r="676" spans="1:4" x14ac:dyDescent="0.2">
      <c r="A676" s="312" t="s">
        <v>1796</v>
      </c>
      <c r="B676" s="313" t="s">
        <v>1309</v>
      </c>
      <c r="C676" s="312" t="s">
        <v>906</v>
      </c>
      <c r="D676" s="321" t="str">
        <f>IFERROR(ROUND(AVERAGEIFS('PRECIOS VICTOR'!$D:$D,'PRECIOS VICTOR'!$A:$A,$A676),0),"")</f>
        <v/>
      </c>
    </row>
    <row r="677" spans="1:4" x14ac:dyDescent="0.2">
      <c r="A677" s="312" t="s">
        <v>1174</v>
      </c>
      <c r="B677" s="313" t="s">
        <v>1175</v>
      </c>
      <c r="C677" s="312" t="s">
        <v>956</v>
      </c>
      <c r="D677" s="321" t="str">
        <f>IFERROR(ROUND(AVERAGEIFS('PRECIOS VICTOR'!$D:$D,'PRECIOS VICTOR'!$A:$A,$A677),0),"")</f>
        <v/>
      </c>
    </row>
    <row r="678" spans="1:4" x14ac:dyDescent="0.2">
      <c r="A678" s="312" t="s">
        <v>676</v>
      </c>
      <c r="B678" s="313" t="s">
        <v>1797</v>
      </c>
      <c r="C678" s="312" t="s">
        <v>15</v>
      </c>
      <c r="D678" s="321">
        <f>IFERROR(ROUND(AVERAGEIFS('PRECIOS VICTOR'!$D:$D,'PRECIOS VICTOR'!$A:$A,$A678),0),"")</f>
        <v>6169</v>
      </c>
    </row>
    <row r="679" spans="1:4" x14ac:dyDescent="0.2">
      <c r="A679" s="312" t="s">
        <v>1798</v>
      </c>
      <c r="B679" s="313" t="s">
        <v>475</v>
      </c>
      <c r="C679" s="312" t="s">
        <v>15</v>
      </c>
      <c r="D679" s="321" t="str">
        <f>IFERROR(ROUND(AVERAGEIFS('PRECIOS VICTOR'!$D:$D,'PRECIOS VICTOR'!$A:$A,$A679),0),"")</f>
        <v/>
      </c>
    </row>
    <row r="680" spans="1:4" x14ac:dyDescent="0.2">
      <c r="A680" s="312" t="s">
        <v>1798</v>
      </c>
      <c r="B680" s="313" t="s">
        <v>475</v>
      </c>
      <c r="C680" s="312" t="s">
        <v>15</v>
      </c>
      <c r="D680" s="321" t="str">
        <f>IFERROR(ROUND(AVERAGEIFS('PRECIOS VICTOR'!$D:$D,'PRECIOS VICTOR'!$A:$A,$A680),0),"")</f>
        <v/>
      </c>
    </row>
    <row r="681" spans="1:4" x14ac:dyDescent="0.2">
      <c r="A681" s="312" t="s">
        <v>1799</v>
      </c>
      <c r="B681" s="313" t="s">
        <v>1800</v>
      </c>
      <c r="C681" s="312" t="s">
        <v>15</v>
      </c>
      <c r="D681" s="321" t="str">
        <f>IFERROR(ROUND(AVERAGEIFS('PRECIOS VICTOR'!$D:$D,'PRECIOS VICTOR'!$A:$A,$A681),0),"")</f>
        <v/>
      </c>
    </row>
    <row r="682" spans="1:4" x14ac:dyDescent="0.2">
      <c r="A682" s="312" t="s">
        <v>1801</v>
      </c>
      <c r="B682" s="313" t="s">
        <v>1802</v>
      </c>
      <c r="C682" s="312" t="s">
        <v>15</v>
      </c>
      <c r="D682" s="321" t="str">
        <f>IFERROR(ROUND(AVERAGEIFS('PRECIOS VICTOR'!$D:$D,'PRECIOS VICTOR'!$A:$A,$A682),0),"")</f>
        <v/>
      </c>
    </row>
    <row r="683" spans="1:4" x14ac:dyDescent="0.2">
      <c r="A683" s="312" t="s">
        <v>1803</v>
      </c>
      <c r="B683" s="313" t="s">
        <v>1804</v>
      </c>
      <c r="C683" s="312" t="s">
        <v>15</v>
      </c>
      <c r="D683" s="321" t="str">
        <f>IFERROR(ROUND(AVERAGEIFS('PRECIOS VICTOR'!$D:$D,'PRECIOS VICTOR'!$A:$A,$A683),0),"")</f>
        <v/>
      </c>
    </row>
    <row r="684" spans="1:4" x14ac:dyDescent="0.2">
      <c r="A684" s="312" t="s">
        <v>1805</v>
      </c>
      <c r="B684" s="313" t="s">
        <v>1073</v>
      </c>
      <c r="C684" s="312" t="s">
        <v>906</v>
      </c>
      <c r="D684" s="321" t="str">
        <f>IFERROR(ROUND(AVERAGEIFS('PRECIOS VICTOR'!$D:$D,'PRECIOS VICTOR'!$A:$A,$A684),0),"")</f>
        <v/>
      </c>
    </row>
    <row r="685" spans="1:4" x14ac:dyDescent="0.2">
      <c r="A685" s="312" t="s">
        <v>1806</v>
      </c>
      <c r="B685" s="313" t="s">
        <v>1807</v>
      </c>
      <c r="C685" s="312" t="s">
        <v>973</v>
      </c>
      <c r="D685" s="321" t="str">
        <f>IFERROR(ROUND(AVERAGEIFS('PRECIOS VICTOR'!$D:$D,'PRECIOS VICTOR'!$A:$A,$A685),0),"")</f>
        <v/>
      </c>
    </row>
    <row r="686" spans="1:4" x14ac:dyDescent="0.2">
      <c r="A686" s="312" t="s">
        <v>1244</v>
      </c>
      <c r="B686" s="313" t="s">
        <v>1245</v>
      </c>
      <c r="C686" s="312" t="s">
        <v>111</v>
      </c>
      <c r="D686" s="321">
        <f>IFERROR(ROUND(AVERAGEIFS('PRECIOS VICTOR'!$D:$D,'PRECIOS VICTOR'!$A:$A,$A686),0),"")</f>
        <v>4833</v>
      </c>
    </row>
    <row r="687" spans="1:4" x14ac:dyDescent="0.2">
      <c r="A687" s="312" t="s">
        <v>1244</v>
      </c>
      <c r="B687" s="313" t="s">
        <v>1245</v>
      </c>
      <c r="C687" s="312" t="s">
        <v>111</v>
      </c>
      <c r="D687" s="321">
        <f>IFERROR(ROUND(AVERAGEIFS('PRECIOS VICTOR'!$D:$D,'PRECIOS VICTOR'!$A:$A,$A687),0),"")</f>
        <v>4833</v>
      </c>
    </row>
    <row r="688" spans="1:4" x14ac:dyDescent="0.2">
      <c r="A688" s="312" t="s">
        <v>1244</v>
      </c>
      <c r="B688" s="313" t="s">
        <v>1245</v>
      </c>
      <c r="C688" s="312" t="s">
        <v>111</v>
      </c>
      <c r="D688" s="321">
        <f>IFERROR(ROUND(AVERAGEIFS('PRECIOS VICTOR'!$D:$D,'PRECIOS VICTOR'!$A:$A,$A688),0),"")</f>
        <v>4833</v>
      </c>
    </row>
    <row r="689" spans="1:4" x14ac:dyDescent="0.2">
      <c r="A689" s="312" t="s">
        <v>1244</v>
      </c>
      <c r="B689" s="313" t="s">
        <v>1245</v>
      </c>
      <c r="C689" s="312" t="s">
        <v>111</v>
      </c>
      <c r="D689" s="321">
        <f>IFERROR(ROUND(AVERAGEIFS('PRECIOS VICTOR'!$D:$D,'PRECIOS VICTOR'!$A:$A,$A689),0),"")</f>
        <v>4833</v>
      </c>
    </row>
    <row r="690" spans="1:4" x14ac:dyDescent="0.2">
      <c r="A690" s="312" t="s">
        <v>1244</v>
      </c>
      <c r="B690" s="313" t="s">
        <v>1245</v>
      </c>
      <c r="C690" s="312" t="s">
        <v>111</v>
      </c>
      <c r="D690" s="321">
        <f>IFERROR(ROUND(AVERAGEIFS('PRECIOS VICTOR'!$D:$D,'PRECIOS VICTOR'!$A:$A,$A690),0),"")</f>
        <v>4833</v>
      </c>
    </row>
    <row r="691" spans="1:4" x14ac:dyDescent="0.2">
      <c r="A691" s="312" t="s">
        <v>1244</v>
      </c>
      <c r="B691" s="313" t="s">
        <v>1245</v>
      </c>
      <c r="C691" s="312" t="s">
        <v>111</v>
      </c>
      <c r="D691" s="321">
        <f>IFERROR(ROUND(AVERAGEIFS('PRECIOS VICTOR'!$D:$D,'PRECIOS VICTOR'!$A:$A,$A691),0),"")</f>
        <v>4833</v>
      </c>
    </row>
    <row r="692" spans="1:4" x14ac:dyDescent="0.2">
      <c r="A692" s="312" t="s">
        <v>1808</v>
      </c>
      <c r="B692" s="313" t="s">
        <v>1809</v>
      </c>
      <c r="C692" s="312" t="s">
        <v>111</v>
      </c>
      <c r="D692" s="321">
        <f>IFERROR(ROUND(AVERAGEIFS('PRECIOS VICTOR'!$D:$D,'PRECIOS VICTOR'!$A:$A,$A692),0),"")</f>
        <v>309</v>
      </c>
    </row>
    <row r="693" spans="1:4" x14ac:dyDescent="0.2">
      <c r="A693" s="312" t="s">
        <v>1246</v>
      </c>
      <c r="B693" s="313" t="s">
        <v>1247</v>
      </c>
      <c r="C693" s="312" t="s">
        <v>111</v>
      </c>
      <c r="D693" s="321">
        <f>IFERROR(ROUND(AVERAGEIFS('PRECIOS VICTOR'!$D:$D,'PRECIOS VICTOR'!$A:$A,$A693),0),"")</f>
        <v>1200</v>
      </c>
    </row>
    <row r="694" spans="1:4" x14ac:dyDescent="0.2">
      <c r="A694" s="312" t="s">
        <v>1246</v>
      </c>
      <c r="B694" s="313" t="s">
        <v>1247</v>
      </c>
      <c r="C694" s="312" t="s">
        <v>111</v>
      </c>
      <c r="D694" s="321">
        <f>IFERROR(ROUND(AVERAGEIFS('PRECIOS VICTOR'!$D:$D,'PRECIOS VICTOR'!$A:$A,$A694),0),"")</f>
        <v>1200</v>
      </c>
    </row>
    <row r="695" spans="1:4" x14ac:dyDescent="0.2">
      <c r="A695" s="312" t="s">
        <v>1246</v>
      </c>
      <c r="B695" s="313" t="s">
        <v>1247</v>
      </c>
      <c r="C695" s="312" t="s">
        <v>111</v>
      </c>
      <c r="D695" s="321">
        <f>IFERROR(ROUND(AVERAGEIFS('PRECIOS VICTOR'!$D:$D,'PRECIOS VICTOR'!$A:$A,$A695),0),"")</f>
        <v>1200</v>
      </c>
    </row>
    <row r="696" spans="1:4" x14ac:dyDescent="0.2">
      <c r="A696" s="312" t="s">
        <v>1248</v>
      </c>
      <c r="B696" s="313" t="s">
        <v>1249</v>
      </c>
      <c r="C696" s="312" t="s">
        <v>111</v>
      </c>
      <c r="D696" s="321">
        <f>IFERROR(ROUND(AVERAGEIFS('PRECIOS VICTOR'!$D:$D,'PRECIOS VICTOR'!$A:$A,$A696),0),"")</f>
        <v>588</v>
      </c>
    </row>
    <row r="697" spans="1:4" x14ac:dyDescent="0.2">
      <c r="A697" s="312" t="s">
        <v>1248</v>
      </c>
      <c r="B697" s="313" t="s">
        <v>1249</v>
      </c>
      <c r="C697" s="312" t="s">
        <v>111</v>
      </c>
      <c r="D697" s="321">
        <f>IFERROR(ROUND(AVERAGEIFS('PRECIOS VICTOR'!$D:$D,'PRECIOS VICTOR'!$A:$A,$A697),0),"")</f>
        <v>588</v>
      </c>
    </row>
    <row r="698" spans="1:4" x14ac:dyDescent="0.2">
      <c r="A698" s="312" t="s">
        <v>1248</v>
      </c>
      <c r="B698" s="313" t="s">
        <v>1249</v>
      </c>
      <c r="C698" s="312" t="s">
        <v>111</v>
      </c>
      <c r="D698" s="321">
        <f>IFERROR(ROUND(AVERAGEIFS('PRECIOS VICTOR'!$D:$D,'PRECIOS VICTOR'!$A:$A,$A698),0),"")</f>
        <v>588</v>
      </c>
    </row>
    <row r="699" spans="1:4" x14ac:dyDescent="0.2">
      <c r="A699" s="312" t="s">
        <v>1810</v>
      </c>
      <c r="B699" s="313" t="s">
        <v>1811</v>
      </c>
      <c r="C699" s="312" t="s">
        <v>15</v>
      </c>
      <c r="D699" s="321" t="str">
        <f>IFERROR(ROUND(AVERAGEIFS('PRECIOS VICTOR'!$D:$D,'PRECIOS VICTOR'!$A:$A,$A699),0),"")</f>
        <v/>
      </c>
    </row>
    <row r="700" spans="1:4" x14ac:dyDescent="0.2">
      <c r="A700" s="312" t="s">
        <v>239</v>
      </c>
      <c r="B700" s="313" t="s">
        <v>238</v>
      </c>
      <c r="C700" s="312" t="s">
        <v>111</v>
      </c>
      <c r="D700" s="321">
        <f>IFERROR(ROUND(AVERAGEIFS('PRECIOS VICTOR'!$D:$D,'PRECIOS VICTOR'!$A:$A,$A700),0),"")</f>
        <v>595</v>
      </c>
    </row>
    <row r="701" spans="1:4" x14ac:dyDescent="0.2">
      <c r="A701" s="312" t="s">
        <v>1812</v>
      </c>
      <c r="B701" s="313" t="s">
        <v>1813</v>
      </c>
      <c r="C701" s="312" t="s">
        <v>956</v>
      </c>
      <c r="D701" s="321" t="str">
        <f>IFERROR(ROUND(AVERAGEIFS('PRECIOS VICTOR'!$D:$D,'PRECIOS VICTOR'!$A:$A,$A701),0),"")</f>
        <v/>
      </c>
    </row>
    <row r="702" spans="1:4" x14ac:dyDescent="0.2">
      <c r="A702" s="312" t="s">
        <v>1814</v>
      </c>
      <c r="B702" s="313" t="s">
        <v>1815</v>
      </c>
      <c r="C702" s="312" t="s">
        <v>15</v>
      </c>
      <c r="D702" s="321" t="str">
        <f>IFERROR(ROUND(AVERAGEIFS('PRECIOS VICTOR'!$D:$D,'PRECIOS VICTOR'!$A:$A,$A702),0),"")</f>
        <v/>
      </c>
    </row>
    <row r="703" spans="1:4" x14ac:dyDescent="0.2">
      <c r="A703" s="312" t="s">
        <v>1816</v>
      </c>
      <c r="B703" s="313" t="s">
        <v>1581</v>
      </c>
      <c r="C703" s="312" t="s">
        <v>956</v>
      </c>
      <c r="D703" s="321">
        <f>IFERROR(ROUND(AVERAGEIFS('PRECIOS VICTOR'!$D:$D,'PRECIOS VICTOR'!$A:$A,$A703),0),"")</f>
        <v>1490</v>
      </c>
    </row>
    <row r="704" spans="1:4" x14ac:dyDescent="0.2">
      <c r="A704" s="312" t="s">
        <v>1817</v>
      </c>
      <c r="B704" s="313" t="s">
        <v>1818</v>
      </c>
      <c r="C704" s="312" t="s">
        <v>15</v>
      </c>
      <c r="D704" s="321" t="str">
        <f>IFERROR(ROUND(AVERAGEIFS('PRECIOS VICTOR'!$D:$D,'PRECIOS VICTOR'!$A:$A,$A704),0),"")</f>
        <v/>
      </c>
    </row>
    <row r="705" spans="1:4" x14ac:dyDescent="0.2">
      <c r="A705" s="312" t="s">
        <v>1819</v>
      </c>
      <c r="B705" s="313" t="s">
        <v>1820</v>
      </c>
      <c r="C705" s="312" t="s">
        <v>15</v>
      </c>
      <c r="D705" s="321" t="str">
        <f>IFERROR(ROUND(AVERAGEIFS('PRECIOS VICTOR'!$D:$D,'PRECIOS VICTOR'!$A:$A,$A705),0),"")</f>
        <v/>
      </c>
    </row>
    <row r="706" spans="1:4" x14ac:dyDescent="0.2">
      <c r="A706" s="312" t="s">
        <v>1821</v>
      </c>
      <c r="B706" s="313" t="s">
        <v>1822</v>
      </c>
      <c r="C706" s="312" t="s">
        <v>111</v>
      </c>
      <c r="D706" s="321" t="str">
        <f>IFERROR(ROUND(AVERAGEIFS('PRECIOS VICTOR'!$D:$D,'PRECIOS VICTOR'!$A:$A,$A706),0),"")</f>
        <v/>
      </c>
    </row>
    <row r="707" spans="1:4" x14ac:dyDescent="0.2">
      <c r="A707" s="312" t="s">
        <v>1823</v>
      </c>
      <c r="B707" s="313" t="s">
        <v>1824</v>
      </c>
      <c r="C707" s="312" t="s">
        <v>15</v>
      </c>
      <c r="D707" s="321" t="str">
        <f>IFERROR(ROUND(AVERAGEIFS('PRECIOS VICTOR'!$D:$D,'PRECIOS VICTOR'!$A:$A,$A707),0),"")</f>
        <v/>
      </c>
    </row>
    <row r="708" spans="1:4" x14ac:dyDescent="0.2">
      <c r="A708" s="312" t="s">
        <v>1825</v>
      </c>
      <c r="B708" s="313" t="s">
        <v>1826</v>
      </c>
      <c r="C708" s="312" t="s">
        <v>111</v>
      </c>
      <c r="D708" s="321" t="str">
        <f>IFERROR(ROUND(AVERAGEIFS('PRECIOS VICTOR'!$D:$D,'PRECIOS VICTOR'!$A:$A,$A708),0),"")</f>
        <v/>
      </c>
    </row>
    <row r="709" spans="1:4" x14ac:dyDescent="0.2">
      <c r="A709" s="312" t="s">
        <v>1827</v>
      </c>
      <c r="B709" s="313" t="s">
        <v>1828</v>
      </c>
      <c r="C709" s="312" t="s">
        <v>906</v>
      </c>
      <c r="D709" s="321" t="str">
        <f>IFERROR(ROUND(AVERAGEIFS('PRECIOS VICTOR'!$D:$D,'PRECIOS VICTOR'!$A:$A,$A709),0),"")</f>
        <v/>
      </c>
    </row>
    <row r="710" spans="1:4" x14ac:dyDescent="0.2">
      <c r="A710" s="312" t="s">
        <v>1829</v>
      </c>
      <c r="B710" s="313" t="s">
        <v>1830</v>
      </c>
      <c r="C710" s="312" t="s">
        <v>111</v>
      </c>
      <c r="D710" s="321" t="str">
        <f>IFERROR(ROUND(AVERAGEIFS('PRECIOS VICTOR'!$D:$D,'PRECIOS VICTOR'!$A:$A,$A710),0),"")</f>
        <v/>
      </c>
    </row>
    <row r="711" spans="1:4" x14ac:dyDescent="0.2">
      <c r="A711" s="312" t="s">
        <v>1831</v>
      </c>
      <c r="B711" s="313" t="s">
        <v>1832</v>
      </c>
      <c r="C711" s="312" t="s">
        <v>111</v>
      </c>
      <c r="D711" s="321" t="str">
        <f>IFERROR(ROUND(AVERAGEIFS('PRECIOS VICTOR'!$D:$D,'PRECIOS VICTOR'!$A:$A,$A711),0),"")</f>
        <v/>
      </c>
    </row>
    <row r="712" spans="1:4" x14ac:dyDescent="0.2">
      <c r="A712" s="312" t="s">
        <v>1833</v>
      </c>
      <c r="B712" s="313" t="s">
        <v>1834</v>
      </c>
      <c r="C712" s="312" t="s">
        <v>15</v>
      </c>
      <c r="D712" s="321" t="str">
        <f>IFERROR(ROUND(AVERAGEIFS('PRECIOS VICTOR'!$D:$D,'PRECIOS VICTOR'!$A:$A,$A712),0),"")</f>
        <v/>
      </c>
    </row>
    <row r="713" spans="1:4" x14ac:dyDescent="0.2">
      <c r="A713" s="312" t="s">
        <v>1835</v>
      </c>
      <c r="B713" s="313" t="s">
        <v>1836</v>
      </c>
      <c r="C713" s="312" t="s">
        <v>906</v>
      </c>
      <c r="D713" s="321" t="str">
        <f>IFERROR(ROUND(AVERAGEIFS('PRECIOS VICTOR'!$D:$D,'PRECIOS VICTOR'!$A:$A,$A713),0),"")</f>
        <v/>
      </c>
    </row>
    <row r="714" spans="1:4" x14ac:dyDescent="0.2">
      <c r="A714" s="312" t="s">
        <v>1837</v>
      </c>
      <c r="B714" s="313" t="s">
        <v>1644</v>
      </c>
      <c r="C714" s="312" t="s">
        <v>111</v>
      </c>
      <c r="D714" s="321" t="str">
        <f>IFERROR(ROUND(AVERAGEIFS('PRECIOS VICTOR'!$D:$D,'PRECIOS VICTOR'!$A:$A,$A714),0),"")</f>
        <v/>
      </c>
    </row>
    <row r="715" spans="1:4" x14ac:dyDescent="0.2">
      <c r="A715" s="312" t="s">
        <v>1838</v>
      </c>
      <c r="B715" s="313" t="s">
        <v>1839</v>
      </c>
      <c r="C715" s="312" t="s">
        <v>15</v>
      </c>
      <c r="D715" s="321" t="str">
        <f>IFERROR(ROUND(AVERAGEIFS('PRECIOS VICTOR'!$D:$D,'PRECIOS VICTOR'!$A:$A,$A715),0),"")</f>
        <v/>
      </c>
    </row>
    <row r="716" spans="1:4" x14ac:dyDescent="0.2">
      <c r="A716" s="312" t="s">
        <v>1840</v>
      </c>
      <c r="B716" s="313" t="s">
        <v>1841</v>
      </c>
      <c r="C716" s="312" t="s">
        <v>111</v>
      </c>
      <c r="D716" s="321" t="str">
        <f>IFERROR(ROUND(AVERAGEIFS('PRECIOS VICTOR'!$D:$D,'PRECIOS VICTOR'!$A:$A,$A716),0),"")</f>
        <v/>
      </c>
    </row>
    <row r="717" spans="1:4" x14ac:dyDescent="0.2">
      <c r="A717" s="312" t="s">
        <v>1842</v>
      </c>
      <c r="B717" s="313" t="s">
        <v>1843</v>
      </c>
      <c r="C717" s="312" t="s">
        <v>906</v>
      </c>
      <c r="D717" s="321" t="str">
        <f>IFERROR(ROUND(AVERAGEIFS('PRECIOS VICTOR'!$D:$D,'PRECIOS VICTOR'!$A:$A,$A717),0),"")</f>
        <v/>
      </c>
    </row>
    <row r="718" spans="1:4" x14ac:dyDescent="0.2">
      <c r="A718" s="312" t="s">
        <v>1844</v>
      </c>
      <c r="B718" s="313" t="s">
        <v>1845</v>
      </c>
      <c r="C718" s="312" t="s">
        <v>111</v>
      </c>
      <c r="D718" s="321" t="str">
        <f>IFERROR(ROUND(AVERAGEIFS('PRECIOS VICTOR'!$D:$D,'PRECIOS VICTOR'!$A:$A,$A718),0),"")</f>
        <v/>
      </c>
    </row>
    <row r="719" spans="1:4" x14ac:dyDescent="0.2">
      <c r="A719" s="312" t="s">
        <v>1196</v>
      </c>
      <c r="B719" s="313" t="s">
        <v>1197</v>
      </c>
      <c r="C719" s="312" t="s">
        <v>111</v>
      </c>
      <c r="D719" s="321">
        <f>IFERROR(ROUND(AVERAGEIFS('PRECIOS VICTOR'!$D:$D,'PRECIOS VICTOR'!$A:$A,$A719),0),"")</f>
        <v>171</v>
      </c>
    </row>
    <row r="720" spans="1:4" x14ac:dyDescent="0.2">
      <c r="A720" s="312" t="s">
        <v>1196</v>
      </c>
      <c r="B720" s="313" t="s">
        <v>1197</v>
      </c>
      <c r="C720" s="312" t="s">
        <v>111</v>
      </c>
      <c r="D720" s="321">
        <f>IFERROR(ROUND(AVERAGEIFS('PRECIOS VICTOR'!$D:$D,'PRECIOS VICTOR'!$A:$A,$A720),0),"")</f>
        <v>171</v>
      </c>
    </row>
    <row r="721" spans="1:4" x14ac:dyDescent="0.2">
      <c r="A721" s="312" t="s">
        <v>1196</v>
      </c>
      <c r="B721" s="313" t="s">
        <v>1197</v>
      </c>
      <c r="C721" s="312" t="s">
        <v>111</v>
      </c>
      <c r="D721" s="321">
        <f>IFERROR(ROUND(AVERAGEIFS('PRECIOS VICTOR'!$D:$D,'PRECIOS VICTOR'!$A:$A,$A721),0),"")</f>
        <v>171</v>
      </c>
    </row>
    <row r="722" spans="1:4" x14ac:dyDescent="0.2">
      <c r="A722" s="312" t="s">
        <v>1196</v>
      </c>
      <c r="B722" s="313" t="s">
        <v>1197</v>
      </c>
      <c r="C722" s="312" t="s">
        <v>111</v>
      </c>
      <c r="D722" s="321">
        <f>IFERROR(ROUND(AVERAGEIFS('PRECIOS VICTOR'!$D:$D,'PRECIOS VICTOR'!$A:$A,$A722),0),"")</f>
        <v>171</v>
      </c>
    </row>
    <row r="723" spans="1:4" x14ac:dyDescent="0.2">
      <c r="A723" s="312" t="s">
        <v>1846</v>
      </c>
      <c r="B723" s="313" t="s">
        <v>1847</v>
      </c>
      <c r="C723" s="312" t="s">
        <v>956</v>
      </c>
      <c r="D723" s="321">
        <f>IFERROR(ROUND(AVERAGEIFS('PRECIOS VICTOR'!$D:$D,'PRECIOS VICTOR'!$A:$A,$A723),0),"")</f>
        <v>7020</v>
      </c>
    </row>
    <row r="724" spans="1:4" x14ac:dyDescent="0.2">
      <c r="A724" s="312" t="s">
        <v>1848</v>
      </c>
      <c r="B724" s="313" t="s">
        <v>1078</v>
      </c>
      <c r="C724" s="312" t="s">
        <v>297</v>
      </c>
      <c r="D724" s="321" t="str">
        <f>IFERROR(ROUND(AVERAGEIFS('PRECIOS VICTOR'!$D:$D,'PRECIOS VICTOR'!$A:$A,$A724),0),"")</f>
        <v/>
      </c>
    </row>
    <row r="725" spans="1:4" x14ac:dyDescent="0.2">
      <c r="A725" s="312" t="s">
        <v>1849</v>
      </c>
      <c r="B725" s="313" t="s">
        <v>1384</v>
      </c>
      <c r="C725" s="312" t="s">
        <v>111</v>
      </c>
      <c r="D725" s="321" t="str">
        <f>IFERROR(ROUND(AVERAGEIFS('PRECIOS VICTOR'!$D:$D,'PRECIOS VICTOR'!$A:$A,$A725),0),"")</f>
        <v/>
      </c>
    </row>
    <row r="726" spans="1:4" x14ac:dyDescent="0.2">
      <c r="A726" s="312" t="s">
        <v>1850</v>
      </c>
      <c r="B726" s="313" t="s">
        <v>1851</v>
      </c>
      <c r="C726" s="312" t="s">
        <v>15</v>
      </c>
      <c r="D726" s="321">
        <f>IFERROR(ROUND(AVERAGEIFS('PRECIOS VICTOR'!$D:$D,'PRECIOS VICTOR'!$A:$A,$A726),0),"")</f>
        <v>2713</v>
      </c>
    </row>
    <row r="727" spans="1:4" x14ac:dyDescent="0.2">
      <c r="A727" s="312" t="s">
        <v>1850</v>
      </c>
      <c r="B727" s="313" t="s">
        <v>1851</v>
      </c>
      <c r="C727" s="312" t="s">
        <v>15</v>
      </c>
      <c r="D727" s="321">
        <f>IFERROR(ROUND(AVERAGEIFS('PRECIOS VICTOR'!$D:$D,'PRECIOS VICTOR'!$A:$A,$A727),0),"")</f>
        <v>2713</v>
      </c>
    </row>
    <row r="728" spans="1:4" x14ac:dyDescent="0.2">
      <c r="A728" s="312" t="s">
        <v>1240</v>
      </c>
      <c r="B728" s="313" t="s">
        <v>1241</v>
      </c>
      <c r="C728" s="312" t="s">
        <v>1007</v>
      </c>
      <c r="D728" s="321" t="str">
        <f>IFERROR(ROUND(AVERAGEIFS('PRECIOS VICTOR'!$D:$D,'PRECIOS VICTOR'!$A:$A,$A728),0),"")</f>
        <v/>
      </c>
    </row>
    <row r="729" spans="1:4" x14ac:dyDescent="0.2">
      <c r="A729" s="312" t="s">
        <v>1240</v>
      </c>
      <c r="B729" s="313" t="s">
        <v>1241</v>
      </c>
      <c r="C729" s="312" t="s">
        <v>1007</v>
      </c>
      <c r="D729" s="321" t="str">
        <f>IFERROR(ROUND(AVERAGEIFS('PRECIOS VICTOR'!$D:$D,'PRECIOS VICTOR'!$A:$A,$A729),0),"")</f>
        <v/>
      </c>
    </row>
    <row r="730" spans="1:4" x14ac:dyDescent="0.2">
      <c r="A730" s="312" t="s">
        <v>1242</v>
      </c>
      <c r="B730" s="313" t="s">
        <v>1243</v>
      </c>
      <c r="C730" s="312" t="s">
        <v>947</v>
      </c>
      <c r="D730" s="321">
        <f>IFERROR(ROUND(AVERAGEIFS('PRECIOS VICTOR'!$D:$D,'PRECIOS VICTOR'!$A:$A,$A730),0),"")</f>
        <v>917</v>
      </c>
    </row>
    <row r="731" spans="1:4" x14ac:dyDescent="0.2">
      <c r="A731" s="312" t="s">
        <v>1852</v>
      </c>
      <c r="B731" s="313" t="s">
        <v>1853</v>
      </c>
      <c r="C731" s="312" t="s">
        <v>111</v>
      </c>
      <c r="D731" s="321">
        <f>IFERROR(ROUND(AVERAGEIFS('PRECIOS VICTOR'!$D:$D,'PRECIOS VICTOR'!$A:$A,$A731),0),"")</f>
        <v>1071</v>
      </c>
    </row>
    <row r="732" spans="1:4" x14ac:dyDescent="0.2">
      <c r="A732" s="312" t="s">
        <v>1852</v>
      </c>
      <c r="B732" s="313" t="s">
        <v>1853</v>
      </c>
      <c r="C732" s="312" t="s">
        <v>111</v>
      </c>
      <c r="D732" s="321">
        <f>IFERROR(ROUND(AVERAGEIFS('PRECIOS VICTOR'!$D:$D,'PRECIOS VICTOR'!$A:$A,$A732),0),"")</f>
        <v>1071</v>
      </c>
    </row>
    <row r="733" spans="1:4" x14ac:dyDescent="0.2">
      <c r="A733" s="312" t="s">
        <v>1250</v>
      </c>
      <c r="B733" s="313" t="s">
        <v>1251</v>
      </c>
      <c r="C733" s="312" t="s">
        <v>947</v>
      </c>
      <c r="D733" s="321">
        <f>IFERROR(ROUND(AVERAGEIFS('PRECIOS VICTOR'!$D:$D,'PRECIOS VICTOR'!$A:$A,$A733),0),"")</f>
        <v>803</v>
      </c>
    </row>
    <row r="734" spans="1:4" x14ac:dyDescent="0.2">
      <c r="A734" s="312" t="s">
        <v>1250</v>
      </c>
      <c r="B734" s="313" t="s">
        <v>1251</v>
      </c>
      <c r="C734" s="312" t="s">
        <v>947</v>
      </c>
      <c r="D734" s="321">
        <f>IFERROR(ROUND(AVERAGEIFS('PRECIOS VICTOR'!$D:$D,'PRECIOS VICTOR'!$A:$A,$A734),0),"")</f>
        <v>803</v>
      </c>
    </row>
    <row r="735" spans="1:4" x14ac:dyDescent="0.2">
      <c r="A735" s="312" t="s">
        <v>1250</v>
      </c>
      <c r="B735" s="313" t="s">
        <v>1251</v>
      </c>
      <c r="C735" s="312" t="s">
        <v>947</v>
      </c>
      <c r="D735" s="321">
        <f>IFERROR(ROUND(AVERAGEIFS('PRECIOS VICTOR'!$D:$D,'PRECIOS VICTOR'!$A:$A,$A735),0),"")</f>
        <v>803</v>
      </c>
    </row>
    <row r="736" spans="1:4" x14ac:dyDescent="0.2">
      <c r="A736" s="312" t="s">
        <v>1854</v>
      </c>
      <c r="B736" s="313" t="s">
        <v>1855</v>
      </c>
      <c r="C736" s="312" t="s">
        <v>15</v>
      </c>
      <c r="D736" s="321">
        <f>IFERROR(ROUND(AVERAGEIFS('PRECIOS VICTOR'!$D:$D,'PRECIOS VICTOR'!$A:$A,$A736),0),"")</f>
        <v>4761</v>
      </c>
    </row>
    <row r="737" spans="1:4" x14ac:dyDescent="0.2">
      <c r="A737" s="312" t="s">
        <v>1856</v>
      </c>
      <c r="B737" s="313" t="s">
        <v>1857</v>
      </c>
      <c r="C737" s="312" t="s">
        <v>947</v>
      </c>
      <c r="D737" s="321">
        <f>IFERROR(ROUND(AVERAGEIFS('PRECIOS VICTOR'!$D:$D,'PRECIOS VICTOR'!$A:$A,$A737),0),"")</f>
        <v>2142</v>
      </c>
    </row>
    <row r="738" spans="1:4" x14ac:dyDescent="0.2">
      <c r="A738" s="312" t="s">
        <v>1858</v>
      </c>
      <c r="B738" s="313" t="s">
        <v>1859</v>
      </c>
      <c r="C738" s="312" t="s">
        <v>15</v>
      </c>
      <c r="D738" s="321" t="str">
        <f>IFERROR(ROUND(AVERAGEIFS('PRECIOS VICTOR'!$D:$D,'PRECIOS VICTOR'!$A:$A,$A738),0),"")</f>
        <v/>
      </c>
    </row>
    <row r="739" spans="1:4" x14ac:dyDescent="0.2">
      <c r="A739" s="312" t="s">
        <v>1860</v>
      </c>
      <c r="B739" s="313" t="s">
        <v>1861</v>
      </c>
      <c r="C739" s="312" t="s">
        <v>942</v>
      </c>
      <c r="D739" s="321" t="str">
        <f>IFERROR(ROUND(AVERAGEIFS('PRECIOS VICTOR'!$D:$D,'PRECIOS VICTOR'!$A:$A,$A739),0),"")</f>
        <v/>
      </c>
    </row>
    <row r="740" spans="1:4" x14ac:dyDescent="0.2">
      <c r="A740" s="312" t="s">
        <v>1862</v>
      </c>
      <c r="B740" s="313" t="s">
        <v>1138</v>
      </c>
      <c r="C740" s="312" t="s">
        <v>15</v>
      </c>
      <c r="D740" s="321" t="str">
        <f>IFERROR(ROUND(AVERAGEIFS('PRECIOS VICTOR'!$D:$D,'PRECIOS VICTOR'!$A:$A,$A740),0),"")</f>
        <v/>
      </c>
    </row>
    <row r="741" spans="1:4" x14ac:dyDescent="0.2">
      <c r="A741" s="312" t="s">
        <v>1863</v>
      </c>
      <c r="B741" s="313" t="s">
        <v>1779</v>
      </c>
      <c r="C741" s="312" t="s">
        <v>111</v>
      </c>
      <c r="D741" s="321" t="str">
        <f>IFERROR(ROUND(AVERAGEIFS('PRECIOS VICTOR'!$D:$D,'PRECIOS VICTOR'!$A:$A,$A741),0),"")</f>
        <v/>
      </c>
    </row>
    <row r="742" spans="1:4" x14ac:dyDescent="0.2">
      <c r="A742" s="312" t="s">
        <v>1864</v>
      </c>
      <c r="B742" s="313" t="s">
        <v>1865</v>
      </c>
      <c r="C742" s="312" t="s">
        <v>111</v>
      </c>
      <c r="D742" s="321" t="str">
        <f>IFERROR(ROUND(AVERAGEIFS('PRECIOS VICTOR'!$D:$D,'PRECIOS VICTOR'!$A:$A,$A742),0),"")</f>
        <v/>
      </c>
    </row>
    <row r="743" spans="1:4" x14ac:dyDescent="0.2">
      <c r="A743" s="312" t="s">
        <v>1866</v>
      </c>
      <c r="B743" s="313" t="s">
        <v>1867</v>
      </c>
      <c r="C743" s="312" t="s">
        <v>111</v>
      </c>
      <c r="D743" s="321" t="str">
        <f>IFERROR(ROUND(AVERAGEIFS('PRECIOS VICTOR'!$D:$D,'PRECIOS VICTOR'!$A:$A,$A743),0),"")</f>
        <v/>
      </c>
    </row>
    <row r="744" spans="1:4" x14ac:dyDescent="0.2">
      <c r="A744" s="312" t="s">
        <v>1868</v>
      </c>
      <c r="B744" s="313" t="s">
        <v>1869</v>
      </c>
      <c r="C744" s="312" t="s">
        <v>942</v>
      </c>
      <c r="D744" s="321" t="str">
        <f>IFERROR(ROUND(AVERAGEIFS('PRECIOS VICTOR'!$D:$D,'PRECIOS VICTOR'!$A:$A,$A744),0),"")</f>
        <v/>
      </c>
    </row>
    <row r="745" spans="1:4" x14ac:dyDescent="0.2">
      <c r="A745" s="312" t="s">
        <v>1870</v>
      </c>
      <c r="B745" s="313" t="s">
        <v>1871</v>
      </c>
      <c r="C745" s="312" t="s">
        <v>15</v>
      </c>
      <c r="D745" s="321" t="str">
        <f>IFERROR(ROUND(AVERAGEIFS('PRECIOS VICTOR'!$D:$D,'PRECIOS VICTOR'!$A:$A,$A745),0),"")</f>
        <v/>
      </c>
    </row>
    <row r="746" spans="1:4" x14ac:dyDescent="0.2">
      <c r="A746" s="312" t="s">
        <v>1872</v>
      </c>
      <c r="B746" s="313" t="s">
        <v>1873</v>
      </c>
      <c r="C746" s="312" t="s">
        <v>111</v>
      </c>
      <c r="D746" s="321">
        <f>IFERROR(ROUND(AVERAGEIFS('PRECIOS VICTOR'!$D:$D,'PRECIOS VICTOR'!$A:$A,$A746),0),"")</f>
        <v>6500</v>
      </c>
    </row>
    <row r="747" spans="1:4" x14ac:dyDescent="0.2">
      <c r="A747" s="312" t="s">
        <v>1874</v>
      </c>
      <c r="B747" s="313" t="s">
        <v>1875</v>
      </c>
      <c r="C747" s="312" t="s">
        <v>906</v>
      </c>
      <c r="D747" s="321">
        <f>IFERROR(ROUND(AVERAGEIFS('PRECIOS VICTOR'!$D:$D,'PRECIOS VICTOR'!$A:$A,$A747),0),"")</f>
        <v>2250</v>
      </c>
    </row>
    <row r="748" spans="1:4" x14ac:dyDescent="0.2">
      <c r="A748" s="312" t="s">
        <v>1876</v>
      </c>
      <c r="B748" s="313" t="s">
        <v>1877</v>
      </c>
      <c r="C748" s="312" t="s">
        <v>15</v>
      </c>
      <c r="D748" s="321" t="str">
        <f>IFERROR(ROUND(AVERAGEIFS('PRECIOS VICTOR'!$D:$D,'PRECIOS VICTOR'!$A:$A,$A748),0),"")</f>
        <v/>
      </c>
    </row>
    <row r="749" spans="1:4" x14ac:dyDescent="0.2">
      <c r="A749" s="312" t="s">
        <v>1878</v>
      </c>
      <c r="B749" s="313" t="s">
        <v>1879</v>
      </c>
      <c r="C749" s="312" t="s">
        <v>1007</v>
      </c>
      <c r="D749" s="321" t="str">
        <f>IFERROR(ROUND(AVERAGEIFS('PRECIOS VICTOR'!$D:$D,'PRECIOS VICTOR'!$A:$A,$A749),0),"")</f>
        <v/>
      </c>
    </row>
    <row r="750" spans="1:4" x14ac:dyDescent="0.2">
      <c r="A750" s="312" t="s">
        <v>1880</v>
      </c>
      <c r="B750" s="313" t="s">
        <v>1881</v>
      </c>
      <c r="C750" s="312" t="s">
        <v>1007</v>
      </c>
      <c r="D750" s="321" t="str">
        <f>IFERROR(ROUND(AVERAGEIFS('PRECIOS VICTOR'!$D:$D,'PRECIOS VICTOR'!$A:$A,$A750),0),"")</f>
        <v/>
      </c>
    </row>
    <row r="751" spans="1:4" x14ac:dyDescent="0.2">
      <c r="A751" s="312" t="s">
        <v>1882</v>
      </c>
      <c r="B751" s="313" t="s">
        <v>1883</v>
      </c>
      <c r="C751" s="312" t="s">
        <v>111</v>
      </c>
      <c r="D751" s="321" t="str">
        <f>IFERROR(ROUND(AVERAGEIFS('PRECIOS VICTOR'!$D:$D,'PRECIOS VICTOR'!$A:$A,$A751),0),"")</f>
        <v/>
      </c>
    </row>
    <row r="752" spans="1:4" x14ac:dyDescent="0.2">
      <c r="A752" s="312" t="s">
        <v>1884</v>
      </c>
      <c r="B752" s="313" t="s">
        <v>1885</v>
      </c>
      <c r="C752" s="312" t="s">
        <v>15</v>
      </c>
      <c r="D752" s="321">
        <f>IFERROR(ROUND(AVERAGEIFS('PRECIOS VICTOR'!$D:$D,'PRECIOS VICTOR'!$A:$A,$A752),0),"")</f>
        <v>8330</v>
      </c>
    </row>
    <row r="753" spans="1:4" x14ac:dyDescent="0.2">
      <c r="A753" s="312" t="s">
        <v>1886</v>
      </c>
      <c r="B753" s="313" t="s">
        <v>1887</v>
      </c>
      <c r="C753" s="312" t="s">
        <v>111</v>
      </c>
      <c r="D753" s="321" t="str">
        <f>IFERROR(ROUND(AVERAGEIFS('PRECIOS VICTOR'!$D:$D,'PRECIOS VICTOR'!$A:$A,$A753),0),"")</f>
        <v/>
      </c>
    </row>
    <row r="754" spans="1:4" x14ac:dyDescent="0.2">
      <c r="A754" s="312" t="s">
        <v>1888</v>
      </c>
      <c r="B754" s="313" t="s">
        <v>571</v>
      </c>
      <c r="C754" s="312" t="s">
        <v>1007</v>
      </c>
      <c r="D754" s="321" t="str">
        <f>IFERROR(ROUND(AVERAGEIFS('PRECIOS VICTOR'!$D:$D,'PRECIOS VICTOR'!$A:$A,$A754),0),"")</f>
        <v/>
      </c>
    </row>
    <row r="755" spans="1:4" x14ac:dyDescent="0.2">
      <c r="A755" s="312" t="s">
        <v>1252</v>
      </c>
      <c r="B755" s="313" t="s">
        <v>1202</v>
      </c>
      <c r="C755" s="312" t="s">
        <v>906</v>
      </c>
      <c r="D755" s="321">
        <f>IFERROR(ROUND(AVERAGEIFS('PRECIOS VICTOR'!$D:$D,'PRECIOS VICTOR'!$A:$A,$A755),0),"")</f>
        <v>2999</v>
      </c>
    </row>
    <row r="756" spans="1:4" x14ac:dyDescent="0.2">
      <c r="A756" s="312" t="s">
        <v>1018</v>
      </c>
      <c r="B756" s="313" t="s">
        <v>1019</v>
      </c>
      <c r="C756" s="312" t="s">
        <v>111</v>
      </c>
      <c r="D756" s="321" t="str">
        <f>IFERROR(ROUND(AVERAGEIFS('PRECIOS VICTOR'!$D:$D,'PRECIOS VICTOR'!$A:$A,$A756),0),"")</f>
        <v/>
      </c>
    </row>
    <row r="757" spans="1:4" x14ac:dyDescent="0.2">
      <c r="A757" s="312" t="s">
        <v>1022</v>
      </c>
      <c r="B757" s="313" t="s">
        <v>1021</v>
      </c>
      <c r="C757" s="312" t="s">
        <v>297</v>
      </c>
      <c r="D757" s="321">
        <f>IFERROR(ROUND(AVERAGEIFS('PRECIOS VICTOR'!$D:$D,'PRECIOS VICTOR'!$A:$A,$A757),0),"")</f>
        <v>9043</v>
      </c>
    </row>
    <row r="758" spans="1:4" x14ac:dyDescent="0.2">
      <c r="A758" s="312" t="s">
        <v>1889</v>
      </c>
      <c r="B758" s="313" t="s">
        <v>1890</v>
      </c>
      <c r="C758" s="312" t="s">
        <v>297</v>
      </c>
      <c r="D758" s="321" t="str">
        <f>IFERROR(ROUND(AVERAGEIFS('PRECIOS VICTOR'!$D:$D,'PRECIOS VICTOR'!$A:$A,$A758),0),"")</f>
        <v/>
      </c>
    </row>
    <row r="759" spans="1:4" x14ac:dyDescent="0.2">
      <c r="A759" s="312" t="s">
        <v>1891</v>
      </c>
      <c r="B759" s="313" t="s">
        <v>1892</v>
      </c>
      <c r="C759" s="312" t="s">
        <v>942</v>
      </c>
      <c r="D759" s="321" t="str">
        <f>IFERROR(ROUND(AVERAGEIFS('PRECIOS VICTOR'!$D:$D,'PRECIOS VICTOR'!$A:$A,$A759),0),"")</f>
        <v/>
      </c>
    </row>
    <row r="760" spans="1:4" x14ac:dyDescent="0.2">
      <c r="A760" s="312" t="s">
        <v>1893</v>
      </c>
      <c r="B760" s="313" t="s">
        <v>1894</v>
      </c>
      <c r="C760" s="312" t="s">
        <v>942</v>
      </c>
      <c r="D760" s="321" t="str">
        <f>IFERROR(ROUND(AVERAGEIFS('PRECIOS VICTOR'!$D:$D,'PRECIOS VICTOR'!$A:$A,$A760),0),"")</f>
        <v/>
      </c>
    </row>
    <row r="761" spans="1:4" x14ac:dyDescent="0.2">
      <c r="A761" s="312" t="s">
        <v>1895</v>
      </c>
      <c r="B761" s="313" t="s">
        <v>1896</v>
      </c>
      <c r="C761" s="312" t="s">
        <v>15</v>
      </c>
      <c r="D761" s="321" t="str">
        <f>IFERROR(ROUND(AVERAGEIFS('PRECIOS VICTOR'!$D:$D,'PRECIOS VICTOR'!$A:$A,$A761),0),"")</f>
        <v/>
      </c>
    </row>
    <row r="762" spans="1:4" x14ac:dyDescent="0.2">
      <c r="A762" s="312" t="s">
        <v>1895</v>
      </c>
      <c r="B762" s="313" t="s">
        <v>1896</v>
      </c>
      <c r="C762" s="312" t="s">
        <v>15</v>
      </c>
      <c r="D762" s="321" t="str">
        <f>IFERROR(ROUND(AVERAGEIFS('PRECIOS VICTOR'!$D:$D,'PRECIOS VICTOR'!$A:$A,$A762),0),"")</f>
        <v/>
      </c>
    </row>
    <row r="763" spans="1:4" x14ac:dyDescent="0.2">
      <c r="A763" s="312" t="s">
        <v>1139</v>
      </c>
      <c r="B763" s="313" t="s">
        <v>1140</v>
      </c>
      <c r="C763" s="312" t="s">
        <v>947</v>
      </c>
      <c r="D763" s="321" t="str">
        <f>IFERROR(ROUND(AVERAGEIFS('PRECIOS VICTOR'!$D:$D,'PRECIOS VICTOR'!$A:$A,$A763),0),"")</f>
        <v/>
      </c>
    </row>
    <row r="764" spans="1:4" x14ac:dyDescent="0.2">
      <c r="A764" s="312" t="s">
        <v>1897</v>
      </c>
      <c r="B764" s="313" t="s">
        <v>1898</v>
      </c>
      <c r="C764" s="312" t="s">
        <v>15</v>
      </c>
      <c r="D764" s="321" t="str">
        <f>IFERROR(ROUND(AVERAGEIFS('PRECIOS VICTOR'!$D:$D,'PRECIOS VICTOR'!$A:$A,$A764),0),"")</f>
        <v/>
      </c>
    </row>
    <row r="765" spans="1:4" x14ac:dyDescent="0.2">
      <c r="A765" s="312" t="s">
        <v>1899</v>
      </c>
      <c r="B765" s="313" t="s">
        <v>14</v>
      </c>
      <c r="C765" s="312" t="s">
        <v>1007</v>
      </c>
      <c r="D765" s="321" t="str">
        <f>IFERROR(ROUND(AVERAGEIFS('PRECIOS VICTOR'!$D:$D,'PRECIOS VICTOR'!$A:$A,$A765),0),"")</f>
        <v/>
      </c>
    </row>
    <row r="766" spans="1:4" x14ac:dyDescent="0.2">
      <c r="A766" s="312" t="s">
        <v>1900</v>
      </c>
      <c r="B766" s="313" t="s">
        <v>1901</v>
      </c>
      <c r="C766" s="312" t="s">
        <v>956</v>
      </c>
      <c r="D766" s="321" t="str">
        <f>IFERROR(ROUND(AVERAGEIFS('PRECIOS VICTOR'!$D:$D,'PRECIOS VICTOR'!$A:$A,$A766),0),"")</f>
        <v/>
      </c>
    </row>
    <row r="767" spans="1:4" x14ac:dyDescent="0.2">
      <c r="A767" s="312" t="s">
        <v>1253</v>
      </c>
      <c r="B767" s="313" t="s">
        <v>1254</v>
      </c>
      <c r="C767" s="312" t="s">
        <v>111</v>
      </c>
      <c r="D767" s="321" t="str">
        <f>IFERROR(ROUND(AVERAGEIFS('PRECIOS VICTOR'!$D:$D,'PRECIOS VICTOR'!$A:$A,$A767),0),"")</f>
        <v/>
      </c>
    </row>
    <row r="768" spans="1:4" x14ac:dyDescent="0.2">
      <c r="A768" s="312" t="s">
        <v>1902</v>
      </c>
      <c r="B768" s="313" t="s">
        <v>1903</v>
      </c>
      <c r="C768" s="312" t="s">
        <v>1007</v>
      </c>
      <c r="D768" s="321">
        <f>IFERROR(ROUND(AVERAGEIFS('PRECIOS VICTOR'!$D:$D,'PRECIOS VICTOR'!$A:$A,$A768),0),"")</f>
        <v>550</v>
      </c>
    </row>
    <row r="769" spans="1:4" x14ac:dyDescent="0.2">
      <c r="A769" s="312" t="s">
        <v>1904</v>
      </c>
      <c r="B769" s="313" t="s">
        <v>1905</v>
      </c>
      <c r="C769" s="312" t="s">
        <v>15</v>
      </c>
      <c r="D769" s="321" t="str">
        <f>IFERROR(ROUND(AVERAGEIFS('PRECIOS VICTOR'!$D:$D,'PRECIOS VICTOR'!$A:$A,$A769),0),"")</f>
        <v/>
      </c>
    </row>
    <row r="770" spans="1:4" x14ac:dyDescent="0.2">
      <c r="A770" s="312" t="s">
        <v>1906</v>
      </c>
      <c r="B770" s="313" t="s">
        <v>1907</v>
      </c>
      <c r="C770" s="312" t="s">
        <v>906</v>
      </c>
      <c r="D770" s="321" t="str">
        <f>IFERROR(ROUND(AVERAGEIFS('PRECIOS VICTOR'!$D:$D,'PRECIOS VICTOR'!$A:$A,$A770),0),"")</f>
        <v/>
      </c>
    </row>
    <row r="771" spans="1:4" x14ac:dyDescent="0.2">
      <c r="A771" s="312" t="s">
        <v>1908</v>
      </c>
      <c r="B771" s="313" t="s">
        <v>1909</v>
      </c>
      <c r="C771" s="312" t="s">
        <v>111</v>
      </c>
      <c r="D771" s="321" t="str">
        <f>IFERROR(ROUND(AVERAGEIFS('PRECIOS VICTOR'!$D:$D,'PRECIOS VICTOR'!$A:$A,$A771),0),"")</f>
        <v/>
      </c>
    </row>
    <row r="772" spans="1:4" x14ac:dyDescent="0.2">
      <c r="A772" s="312" t="s">
        <v>1910</v>
      </c>
      <c r="B772" s="313" t="s">
        <v>1911</v>
      </c>
      <c r="C772" s="312" t="s">
        <v>906</v>
      </c>
      <c r="D772" s="321" t="str">
        <f>IFERROR(ROUND(AVERAGEIFS('PRECIOS VICTOR'!$D:$D,'PRECIOS VICTOR'!$A:$A,$A772),0),"")</f>
        <v/>
      </c>
    </row>
    <row r="773" spans="1:4" x14ac:dyDescent="0.2">
      <c r="A773" s="312" t="s">
        <v>1912</v>
      </c>
      <c r="B773" s="313" t="s">
        <v>1913</v>
      </c>
      <c r="C773" s="312" t="s">
        <v>111</v>
      </c>
      <c r="D773" s="321" t="str">
        <f>IFERROR(ROUND(AVERAGEIFS('PRECIOS VICTOR'!$D:$D,'PRECIOS VICTOR'!$A:$A,$A773),0),"")</f>
        <v/>
      </c>
    </row>
    <row r="774" spans="1:4" x14ac:dyDescent="0.2">
      <c r="A774" s="312" t="s">
        <v>1914</v>
      </c>
      <c r="B774" s="313" t="s">
        <v>1915</v>
      </c>
      <c r="C774" s="312" t="s">
        <v>906</v>
      </c>
      <c r="D774" s="321" t="str">
        <f>IFERROR(ROUND(AVERAGEIFS('PRECIOS VICTOR'!$D:$D,'PRECIOS VICTOR'!$A:$A,$A774),0),"")</f>
        <v/>
      </c>
    </row>
    <row r="775" spans="1:4" x14ac:dyDescent="0.2">
      <c r="A775" s="312" t="s">
        <v>1916</v>
      </c>
      <c r="B775" s="313" t="s">
        <v>1917</v>
      </c>
      <c r="C775" s="312" t="s">
        <v>906</v>
      </c>
      <c r="D775" s="321" t="str">
        <f>IFERROR(ROUND(AVERAGEIFS('PRECIOS VICTOR'!$D:$D,'PRECIOS VICTOR'!$A:$A,$A775),0),"")</f>
        <v/>
      </c>
    </row>
    <row r="776" spans="1:4" x14ac:dyDescent="0.2">
      <c r="A776" s="312" t="s">
        <v>1918</v>
      </c>
      <c r="B776" s="313" t="s">
        <v>1919</v>
      </c>
      <c r="C776" s="312" t="s">
        <v>906</v>
      </c>
      <c r="D776" s="321" t="str">
        <f>IFERROR(ROUND(AVERAGEIFS('PRECIOS VICTOR'!$D:$D,'PRECIOS VICTOR'!$A:$A,$A776),0),"")</f>
        <v/>
      </c>
    </row>
    <row r="777" spans="1:4" x14ac:dyDescent="0.2">
      <c r="A777" s="312" t="s">
        <v>1920</v>
      </c>
      <c r="B777" s="313" t="s">
        <v>1921</v>
      </c>
      <c r="C777" s="312" t="s">
        <v>15</v>
      </c>
      <c r="D777" s="321" t="str">
        <f>IFERROR(ROUND(AVERAGEIFS('PRECIOS VICTOR'!$D:$D,'PRECIOS VICTOR'!$A:$A,$A777),0),"")</f>
        <v/>
      </c>
    </row>
    <row r="778" spans="1:4" x14ac:dyDescent="0.2">
      <c r="A778" s="312" t="s">
        <v>1922</v>
      </c>
      <c r="B778" s="313" t="s">
        <v>1923</v>
      </c>
      <c r="C778" s="312" t="s">
        <v>15</v>
      </c>
      <c r="D778" s="321" t="str">
        <f>IFERROR(ROUND(AVERAGEIFS('PRECIOS VICTOR'!$D:$D,'PRECIOS VICTOR'!$A:$A,$A778),0),"")</f>
        <v/>
      </c>
    </row>
    <row r="779" spans="1:4" x14ac:dyDescent="0.2">
      <c r="A779" s="312" t="s">
        <v>1922</v>
      </c>
      <c r="B779" s="313" t="s">
        <v>1923</v>
      </c>
      <c r="C779" s="312" t="s">
        <v>15</v>
      </c>
      <c r="D779" s="321" t="str">
        <f>IFERROR(ROUND(AVERAGEIFS('PRECIOS VICTOR'!$D:$D,'PRECIOS VICTOR'!$A:$A,$A779),0),"")</f>
        <v/>
      </c>
    </row>
    <row r="780" spans="1:4" x14ac:dyDescent="0.2">
      <c r="A780" s="312" t="s">
        <v>1924</v>
      </c>
      <c r="B780" s="313" t="s">
        <v>37</v>
      </c>
      <c r="C780" s="312" t="s">
        <v>15</v>
      </c>
      <c r="D780" s="321" t="str">
        <f>IFERROR(ROUND(AVERAGEIFS('PRECIOS VICTOR'!$D:$D,'PRECIOS VICTOR'!$A:$A,$A780),0),"")</f>
        <v/>
      </c>
    </row>
    <row r="781" spans="1:4" x14ac:dyDescent="0.2">
      <c r="A781" s="312" t="s">
        <v>1119</v>
      </c>
      <c r="B781" s="313" t="s">
        <v>1120</v>
      </c>
      <c r="C781" s="312" t="s">
        <v>297</v>
      </c>
      <c r="D781" s="321" t="str">
        <f>IFERROR(ROUND(AVERAGEIFS('PRECIOS VICTOR'!$D:$D,'PRECIOS VICTOR'!$A:$A,$A781),0),"")</f>
        <v/>
      </c>
    </row>
    <row r="782" spans="1:4" x14ac:dyDescent="0.2">
      <c r="A782" s="312" t="s">
        <v>1925</v>
      </c>
      <c r="B782" s="313" t="s">
        <v>1926</v>
      </c>
      <c r="C782" s="312" t="s">
        <v>15</v>
      </c>
      <c r="D782" s="321" t="str">
        <f>IFERROR(ROUND(AVERAGEIFS('PRECIOS VICTOR'!$D:$D,'PRECIOS VICTOR'!$A:$A,$A782),0),"")</f>
        <v/>
      </c>
    </row>
    <row r="783" spans="1:4" x14ac:dyDescent="0.2">
      <c r="A783" s="312" t="s">
        <v>1927</v>
      </c>
      <c r="B783" s="313" t="s">
        <v>1928</v>
      </c>
      <c r="C783" s="312" t="s">
        <v>906</v>
      </c>
      <c r="D783" s="321" t="str">
        <f>IFERROR(ROUND(AVERAGEIFS('PRECIOS VICTOR'!$D:$D,'PRECIOS VICTOR'!$A:$A,$A783),0),"")</f>
        <v/>
      </c>
    </row>
    <row r="784" spans="1:4" x14ac:dyDescent="0.2">
      <c r="A784" s="312" t="s">
        <v>1929</v>
      </c>
      <c r="B784" s="313" t="s">
        <v>995</v>
      </c>
      <c r="C784" s="312" t="s">
        <v>111</v>
      </c>
      <c r="D784" s="321" t="str">
        <f>IFERROR(ROUND(AVERAGEIFS('PRECIOS VICTOR'!$D:$D,'PRECIOS VICTOR'!$A:$A,$A784),0),"")</f>
        <v/>
      </c>
    </row>
    <row r="785" spans="1:4" x14ac:dyDescent="0.2">
      <c r="A785" s="312" t="s">
        <v>1205</v>
      </c>
      <c r="B785" s="313" t="s">
        <v>1206</v>
      </c>
      <c r="C785" s="312" t="s">
        <v>906</v>
      </c>
      <c r="D785" s="321" t="str">
        <f>IFERROR(ROUND(AVERAGEIFS('PRECIOS VICTOR'!$D:$D,'PRECIOS VICTOR'!$A:$A,$A785),0),"")</f>
        <v/>
      </c>
    </row>
    <row r="786" spans="1:4" x14ac:dyDescent="0.2">
      <c r="A786" s="312" t="s">
        <v>1930</v>
      </c>
      <c r="B786" s="313" t="s">
        <v>1931</v>
      </c>
      <c r="C786" s="312" t="s">
        <v>15</v>
      </c>
      <c r="D786" s="321">
        <f>IFERROR(ROUND(AVERAGEIFS('PRECIOS VICTOR'!$D:$D,'PRECIOS VICTOR'!$A:$A,$A786),0),"")</f>
        <v>6169</v>
      </c>
    </row>
    <row r="787" spans="1:4" x14ac:dyDescent="0.2">
      <c r="A787" s="312" t="s">
        <v>1033</v>
      </c>
      <c r="B787" s="313" t="s">
        <v>1034</v>
      </c>
      <c r="C787" s="312" t="s">
        <v>15</v>
      </c>
      <c r="D787" s="321" t="str">
        <f>IFERROR(ROUND(AVERAGEIFS('PRECIOS VICTOR'!$D:$D,'PRECIOS VICTOR'!$A:$A,$A787),0),"")</f>
        <v/>
      </c>
    </row>
    <row r="788" spans="1:4" x14ac:dyDescent="0.2">
      <c r="A788" s="312" t="s">
        <v>1040</v>
      </c>
      <c r="B788" s="313" t="s">
        <v>1041</v>
      </c>
      <c r="C788" s="312" t="s">
        <v>15</v>
      </c>
      <c r="D788" s="321" t="str">
        <f>IFERROR(ROUND(AVERAGEIFS('PRECIOS VICTOR'!$D:$D,'PRECIOS VICTOR'!$A:$A,$A788),0),"")</f>
        <v/>
      </c>
    </row>
    <row r="789" spans="1:4" x14ac:dyDescent="0.2">
      <c r="A789" s="312" t="s">
        <v>1103</v>
      </c>
      <c r="B789" s="313" t="s">
        <v>1104</v>
      </c>
      <c r="C789" s="312" t="s">
        <v>981</v>
      </c>
      <c r="D789" s="321" t="str">
        <f>IFERROR(ROUND(AVERAGEIFS('PRECIOS VICTOR'!$D:$D,'PRECIOS VICTOR'!$A:$A,$A789),0),"")</f>
        <v/>
      </c>
    </row>
    <row r="790" spans="1:4" x14ac:dyDescent="0.2">
      <c r="A790" s="312" t="s">
        <v>1103</v>
      </c>
      <c r="B790" s="313" t="s">
        <v>1104</v>
      </c>
      <c r="C790" s="312" t="s">
        <v>981</v>
      </c>
      <c r="D790" s="321" t="str">
        <f>IFERROR(ROUND(AVERAGEIFS('PRECIOS VICTOR'!$D:$D,'PRECIOS VICTOR'!$A:$A,$A790),0),"")</f>
        <v/>
      </c>
    </row>
    <row r="791" spans="1:4" x14ac:dyDescent="0.2">
      <c r="A791" s="312" t="s">
        <v>1932</v>
      </c>
      <c r="B791" s="313" t="s">
        <v>1933</v>
      </c>
      <c r="C791" s="312" t="s">
        <v>15</v>
      </c>
      <c r="D791" s="321" t="str">
        <f>IFERROR(ROUND(AVERAGEIFS('PRECIOS VICTOR'!$D:$D,'PRECIOS VICTOR'!$A:$A,$A791),0),"")</f>
        <v/>
      </c>
    </row>
    <row r="792" spans="1:4" x14ac:dyDescent="0.2">
      <c r="A792" s="312" t="s">
        <v>1934</v>
      </c>
      <c r="B792" s="313" t="s">
        <v>1935</v>
      </c>
      <c r="C792" s="312" t="s">
        <v>947</v>
      </c>
      <c r="D792" s="321" t="str">
        <f>IFERROR(ROUND(AVERAGEIFS('PRECIOS VICTOR'!$D:$D,'PRECIOS VICTOR'!$A:$A,$A792),0),"")</f>
        <v/>
      </c>
    </row>
    <row r="793" spans="1:4" x14ac:dyDescent="0.2">
      <c r="A793" s="312" t="s">
        <v>1936</v>
      </c>
      <c r="B793" s="313" t="s">
        <v>1811</v>
      </c>
      <c r="C793" s="312" t="s">
        <v>906</v>
      </c>
      <c r="D793" s="321" t="str">
        <f>IFERROR(ROUND(AVERAGEIFS('PRECIOS VICTOR'!$D:$D,'PRECIOS VICTOR'!$A:$A,$A793),0),"")</f>
        <v/>
      </c>
    </row>
    <row r="794" spans="1:4" x14ac:dyDescent="0.2">
      <c r="A794" s="312" t="s">
        <v>674</v>
      </c>
      <c r="B794" s="313" t="s">
        <v>469</v>
      </c>
      <c r="C794" s="312" t="s">
        <v>1007</v>
      </c>
      <c r="D794" s="321">
        <f>IFERROR(ROUND(AVERAGEIFS('PRECIOS VICTOR'!$D:$D,'PRECIOS VICTOR'!$A:$A,$A794),0),"")</f>
        <v>3935</v>
      </c>
    </row>
    <row r="795" spans="1:4" x14ac:dyDescent="0.2">
      <c r="A795" s="312" t="s">
        <v>1937</v>
      </c>
      <c r="B795" s="313" t="s">
        <v>1938</v>
      </c>
      <c r="C795" s="312" t="s">
        <v>15</v>
      </c>
      <c r="D795" s="321" t="str">
        <f>IFERROR(ROUND(AVERAGEIFS('PRECIOS VICTOR'!$D:$D,'PRECIOS VICTOR'!$A:$A,$A795),0),"")</f>
        <v/>
      </c>
    </row>
    <row r="796" spans="1:4" x14ac:dyDescent="0.2">
      <c r="A796" s="312" t="s">
        <v>1939</v>
      </c>
      <c r="B796" s="313" t="s">
        <v>1940</v>
      </c>
      <c r="C796" s="312" t="s">
        <v>906</v>
      </c>
      <c r="D796" s="321" t="str">
        <f>IFERROR(ROUND(AVERAGEIFS('PRECIOS VICTOR'!$D:$D,'PRECIOS VICTOR'!$A:$A,$A796),0),"")</f>
        <v/>
      </c>
    </row>
    <row r="797" spans="1:4" x14ac:dyDescent="0.2">
      <c r="A797" s="312" t="s">
        <v>1939</v>
      </c>
      <c r="B797" s="313" t="s">
        <v>1940</v>
      </c>
      <c r="C797" s="312" t="s">
        <v>906</v>
      </c>
      <c r="D797" s="321" t="str">
        <f>IFERROR(ROUND(AVERAGEIFS('PRECIOS VICTOR'!$D:$D,'PRECIOS VICTOR'!$A:$A,$A797),0),"")</f>
        <v/>
      </c>
    </row>
    <row r="798" spans="1:4" x14ac:dyDescent="0.2">
      <c r="A798" s="312" t="s">
        <v>1941</v>
      </c>
      <c r="B798" s="313" t="s">
        <v>1942</v>
      </c>
      <c r="C798" s="312" t="s">
        <v>956</v>
      </c>
      <c r="D798" s="321" t="str">
        <f>IFERROR(ROUND(AVERAGEIFS('PRECIOS VICTOR'!$D:$D,'PRECIOS VICTOR'!$A:$A,$A798),0),"")</f>
        <v/>
      </c>
    </row>
    <row r="799" spans="1:4" x14ac:dyDescent="0.2">
      <c r="A799" s="312" t="s">
        <v>1943</v>
      </c>
      <c r="B799" s="313" t="s">
        <v>1944</v>
      </c>
      <c r="C799" s="312" t="s">
        <v>111</v>
      </c>
      <c r="D799" s="321" t="str">
        <f>IFERROR(ROUND(AVERAGEIFS('PRECIOS VICTOR'!$D:$D,'PRECIOS VICTOR'!$A:$A,$A799),0),"")</f>
        <v/>
      </c>
    </row>
    <row r="800" spans="1:4" x14ac:dyDescent="0.2">
      <c r="A800" s="312" t="s">
        <v>1945</v>
      </c>
      <c r="B800" s="313" t="s">
        <v>1946</v>
      </c>
      <c r="C800" s="312" t="s">
        <v>111</v>
      </c>
      <c r="D800" s="321" t="str">
        <f>IFERROR(ROUND(AVERAGEIFS('PRECIOS VICTOR'!$D:$D,'PRECIOS VICTOR'!$A:$A,$A800),0),"")</f>
        <v/>
      </c>
    </row>
    <row r="801" spans="1:4" x14ac:dyDescent="0.2">
      <c r="A801" s="312" t="s">
        <v>1947</v>
      </c>
      <c r="B801" s="313" t="s">
        <v>1948</v>
      </c>
      <c r="C801" s="312" t="s">
        <v>15</v>
      </c>
      <c r="D801" s="321">
        <f>IFERROR(ROUND(AVERAGEIFS('PRECIOS VICTOR'!$D:$D,'PRECIOS VICTOR'!$A:$A,$A801),0),"")</f>
        <v>6069</v>
      </c>
    </row>
    <row r="802" spans="1:4" x14ac:dyDescent="0.2">
      <c r="A802" s="312" t="s">
        <v>1024</v>
      </c>
      <c r="B802" s="313" t="s">
        <v>591</v>
      </c>
      <c r="C802" s="312" t="s">
        <v>942</v>
      </c>
      <c r="D802" s="321" t="str">
        <f>IFERROR(ROUND(AVERAGEIFS('PRECIOS VICTOR'!$D:$D,'PRECIOS VICTOR'!$A:$A,$A802),0),"")</f>
        <v/>
      </c>
    </row>
    <row r="803" spans="1:4" x14ac:dyDescent="0.2">
      <c r="A803" s="312" t="s">
        <v>1095</v>
      </c>
      <c r="B803" s="313" t="s">
        <v>1096</v>
      </c>
      <c r="C803" s="312" t="s">
        <v>111</v>
      </c>
      <c r="D803" s="321" t="str">
        <f>IFERROR(ROUND(AVERAGEIFS('PRECIOS VICTOR'!$D:$D,'PRECIOS VICTOR'!$A:$A,$A803),0),"")</f>
        <v/>
      </c>
    </row>
    <row r="804" spans="1:4" x14ac:dyDescent="0.2">
      <c r="A804" s="312" t="s">
        <v>1107</v>
      </c>
      <c r="B804" s="313" t="s">
        <v>11</v>
      </c>
      <c r="C804" s="312" t="s">
        <v>1007</v>
      </c>
      <c r="D804" s="321" t="str">
        <f>IFERROR(ROUND(AVERAGEIFS('PRECIOS VICTOR'!$D:$D,'PRECIOS VICTOR'!$A:$A,$A804),0),"")</f>
        <v/>
      </c>
    </row>
    <row r="805" spans="1:4" x14ac:dyDescent="0.2">
      <c r="A805" s="312" t="s">
        <v>1123</v>
      </c>
      <c r="B805" s="313" t="s">
        <v>1124</v>
      </c>
      <c r="C805" s="312" t="s">
        <v>942</v>
      </c>
      <c r="D805" s="321" t="str">
        <f>IFERROR(ROUND(AVERAGEIFS('PRECIOS VICTOR'!$D:$D,'PRECIOS VICTOR'!$A:$A,$A805),0),"")</f>
        <v/>
      </c>
    </row>
    <row r="806" spans="1:4" x14ac:dyDescent="0.2">
      <c r="A806" s="312" t="s">
        <v>1172</v>
      </c>
      <c r="B806" s="313" t="s">
        <v>1173</v>
      </c>
      <c r="C806" s="312" t="s">
        <v>111</v>
      </c>
      <c r="D806" s="321" t="str">
        <f>IFERROR(ROUND(AVERAGEIFS('PRECIOS VICTOR'!$D:$D,'PRECIOS VICTOR'!$A:$A,$A806),0),"")</f>
        <v/>
      </c>
    </row>
    <row r="807" spans="1:4" x14ac:dyDescent="0.2">
      <c r="A807" s="312" t="s">
        <v>1172</v>
      </c>
      <c r="B807" s="313" t="s">
        <v>1173</v>
      </c>
      <c r="C807" s="312" t="s">
        <v>111</v>
      </c>
      <c r="D807" s="321" t="str">
        <f>IFERROR(ROUND(AVERAGEIFS('PRECIOS VICTOR'!$D:$D,'PRECIOS VICTOR'!$A:$A,$A807),0),"")</f>
        <v/>
      </c>
    </row>
    <row r="808" spans="1:4" x14ac:dyDescent="0.2">
      <c r="A808" s="312" t="s">
        <v>1179</v>
      </c>
      <c r="B808" s="313" t="s">
        <v>433</v>
      </c>
      <c r="C808" s="312" t="s">
        <v>15</v>
      </c>
      <c r="D808" s="321" t="str">
        <f>IFERROR(ROUND(AVERAGEIFS('PRECIOS VICTOR'!$D:$D,'PRECIOS VICTOR'!$A:$A,$A808),0),"")</f>
        <v/>
      </c>
    </row>
    <row r="809" spans="1:4" x14ac:dyDescent="0.2">
      <c r="A809" s="312" t="s">
        <v>1960</v>
      </c>
      <c r="B809" s="313" t="s">
        <v>986</v>
      </c>
      <c r="C809" s="312" t="s">
        <v>942</v>
      </c>
      <c r="D809" s="314">
        <v>1381</v>
      </c>
    </row>
    <row r="810" spans="1:4" x14ac:dyDescent="0.2">
      <c r="A810" s="312" t="s">
        <v>1961</v>
      </c>
      <c r="B810" s="313" t="s">
        <v>1962</v>
      </c>
      <c r="C810" s="312" t="s">
        <v>15</v>
      </c>
      <c r="D810" s="314">
        <v>1949</v>
      </c>
    </row>
    <row r="811" spans="1:4" x14ac:dyDescent="0.2">
      <c r="A811" s="312" t="s">
        <v>1963</v>
      </c>
      <c r="B811" s="313" t="s">
        <v>1964</v>
      </c>
      <c r="C811" s="312" t="s">
        <v>111</v>
      </c>
      <c r="D811" s="314">
        <v>4998</v>
      </c>
    </row>
    <row r="812" spans="1:4" x14ac:dyDescent="0.2">
      <c r="A812" s="312" t="s">
        <v>1965</v>
      </c>
      <c r="B812" s="313" t="s">
        <v>1966</v>
      </c>
      <c r="C812" s="312" t="s">
        <v>15</v>
      </c>
      <c r="D812" s="314">
        <v>2937</v>
      </c>
    </row>
    <row r="813" spans="1:4" x14ac:dyDescent="0.2">
      <c r="A813" s="312" t="s">
        <v>1967</v>
      </c>
      <c r="B813" s="313" t="s">
        <v>1928</v>
      </c>
      <c r="C813" s="312" t="s">
        <v>15</v>
      </c>
      <c r="D813" s="314">
        <v>4500</v>
      </c>
    </row>
    <row r="814" spans="1:4" x14ac:dyDescent="0.2">
      <c r="A814" s="312" t="s">
        <v>1968</v>
      </c>
      <c r="B814" s="313" t="s">
        <v>998</v>
      </c>
      <c r="C814" s="312" t="s">
        <v>942</v>
      </c>
      <c r="D814" s="314">
        <v>540</v>
      </c>
    </row>
    <row r="815" spans="1:4" x14ac:dyDescent="0.2">
      <c r="A815" s="312" t="s">
        <v>1969</v>
      </c>
      <c r="B815" s="313" t="s">
        <v>1970</v>
      </c>
      <c r="C815" s="312" t="s">
        <v>1007</v>
      </c>
      <c r="D815" s="314">
        <v>1110</v>
      </c>
    </row>
    <row r="816" spans="1:4" x14ac:dyDescent="0.2">
      <c r="A816" s="312" t="s">
        <v>1969</v>
      </c>
      <c r="B816" s="313" t="s">
        <v>1970</v>
      </c>
      <c r="C816" s="312" t="s">
        <v>1007</v>
      </c>
      <c r="D816" s="314">
        <v>1390</v>
      </c>
    </row>
    <row r="817" spans="1:4" x14ac:dyDescent="0.2">
      <c r="A817" s="312" t="s">
        <v>1971</v>
      </c>
      <c r="B817" s="313" t="s">
        <v>1972</v>
      </c>
      <c r="C817" s="312" t="s">
        <v>111</v>
      </c>
      <c r="D817" s="314">
        <v>1725</v>
      </c>
    </row>
    <row r="818" spans="1:4" x14ac:dyDescent="0.2">
      <c r="A818" s="312" t="s">
        <v>1973</v>
      </c>
      <c r="B818" s="313" t="s">
        <v>1974</v>
      </c>
      <c r="C818" s="312" t="s">
        <v>15</v>
      </c>
      <c r="D818" s="314">
        <v>2870</v>
      </c>
    </row>
    <row r="819" spans="1:4" x14ac:dyDescent="0.2">
      <c r="A819" s="312" t="s">
        <v>1975</v>
      </c>
      <c r="B819" s="313" t="s">
        <v>1976</v>
      </c>
      <c r="C819" s="312" t="s">
        <v>906</v>
      </c>
      <c r="D819" s="314">
        <v>1670</v>
      </c>
    </row>
    <row r="820" spans="1:4" x14ac:dyDescent="0.2">
      <c r="A820" s="312" t="s">
        <v>1977</v>
      </c>
      <c r="B820" s="313" t="s">
        <v>1331</v>
      </c>
      <c r="C820" s="312" t="s">
        <v>15</v>
      </c>
      <c r="D820" s="314">
        <v>5000</v>
      </c>
    </row>
    <row r="821" spans="1:4" x14ac:dyDescent="0.2">
      <c r="A821" s="312" t="s">
        <v>1978</v>
      </c>
      <c r="B821" s="313" t="s">
        <v>1979</v>
      </c>
      <c r="C821" s="312" t="s">
        <v>15</v>
      </c>
      <c r="D821" s="314">
        <v>12318</v>
      </c>
    </row>
    <row r="822" spans="1:4" x14ac:dyDescent="0.2">
      <c r="A822" s="312" t="s">
        <v>1980</v>
      </c>
      <c r="B822" s="313" t="s">
        <v>1981</v>
      </c>
      <c r="C822" s="312" t="s">
        <v>15</v>
      </c>
      <c r="D822" s="314">
        <v>1419</v>
      </c>
    </row>
    <row r="823" spans="1:4" x14ac:dyDescent="0.2">
      <c r="A823" s="312" t="s">
        <v>1982</v>
      </c>
      <c r="B823" s="313" t="s">
        <v>1983</v>
      </c>
      <c r="C823" s="312" t="s">
        <v>906</v>
      </c>
      <c r="D823" s="314">
        <v>8984</v>
      </c>
    </row>
    <row r="824" spans="1:4" x14ac:dyDescent="0.2">
      <c r="A824" s="312" t="s">
        <v>1984</v>
      </c>
      <c r="B824" s="313" t="s">
        <v>1985</v>
      </c>
      <c r="C824" s="312" t="s">
        <v>111</v>
      </c>
      <c r="D824" s="314">
        <v>310</v>
      </c>
    </row>
    <row r="825" spans="1:4" x14ac:dyDescent="0.2">
      <c r="A825" s="312" t="s">
        <v>1986</v>
      </c>
      <c r="B825" s="313" t="s">
        <v>1987</v>
      </c>
      <c r="C825" s="312" t="s">
        <v>15</v>
      </c>
      <c r="D825" s="314">
        <v>26000</v>
      </c>
    </row>
    <row r="826" spans="1:4" x14ac:dyDescent="0.2">
      <c r="A826" s="312" t="s">
        <v>1988</v>
      </c>
      <c r="B826" s="313" t="s">
        <v>1051</v>
      </c>
      <c r="C826" s="312" t="s">
        <v>956</v>
      </c>
      <c r="D826" s="314">
        <v>2975</v>
      </c>
    </row>
    <row r="827" spans="1:4" x14ac:dyDescent="0.2">
      <c r="A827" s="312" t="s">
        <v>1989</v>
      </c>
      <c r="B827" s="313" t="s">
        <v>1990</v>
      </c>
      <c r="C827" s="312" t="s">
        <v>956</v>
      </c>
      <c r="D827" s="314">
        <v>1190</v>
      </c>
    </row>
    <row r="828" spans="1:4" x14ac:dyDescent="0.2">
      <c r="A828" s="312" t="s">
        <v>1991</v>
      </c>
      <c r="B828" s="313" t="s">
        <v>1992</v>
      </c>
      <c r="C828" s="312" t="s">
        <v>15</v>
      </c>
      <c r="D828" s="314">
        <v>3689</v>
      </c>
    </row>
    <row r="829" spans="1:4" x14ac:dyDescent="0.2">
      <c r="A829" s="312" t="s">
        <v>1993</v>
      </c>
      <c r="B829" s="313" t="s">
        <v>1994</v>
      </c>
      <c r="C829" s="312" t="s">
        <v>15</v>
      </c>
      <c r="D829" s="314">
        <v>3894</v>
      </c>
    </row>
    <row r="830" spans="1:4" x14ac:dyDescent="0.2">
      <c r="A830" s="312" t="s">
        <v>2006</v>
      </c>
      <c r="B830" s="313" t="s">
        <v>2007</v>
      </c>
      <c r="C830" s="312" t="s">
        <v>15</v>
      </c>
      <c r="D830" s="314">
        <v>1400</v>
      </c>
    </row>
    <row r="831" spans="1:4" x14ac:dyDescent="0.2">
      <c r="A831" s="312" t="s">
        <v>2006</v>
      </c>
      <c r="B831" s="313" t="s">
        <v>2007</v>
      </c>
      <c r="C831" s="312" t="s">
        <v>15</v>
      </c>
      <c r="D831" s="314">
        <v>4000</v>
      </c>
    </row>
    <row r="832" spans="1:4" x14ac:dyDescent="0.2">
      <c r="A832" s="312" t="s">
        <v>2008</v>
      </c>
      <c r="B832" s="313" t="s">
        <v>2009</v>
      </c>
      <c r="C832" s="312" t="s">
        <v>906</v>
      </c>
      <c r="D832" s="314">
        <v>10222</v>
      </c>
    </row>
    <row r="833" spans="1:4" x14ac:dyDescent="0.2">
      <c r="A833" s="312" t="s">
        <v>2012</v>
      </c>
      <c r="B833" s="313" t="s">
        <v>2013</v>
      </c>
      <c r="C833" s="312" t="s">
        <v>15</v>
      </c>
      <c r="D833" s="314">
        <v>7735</v>
      </c>
    </row>
    <row r="834" spans="1:4" x14ac:dyDescent="0.2">
      <c r="A834" s="312" t="s">
        <v>2014</v>
      </c>
      <c r="B834" s="313" t="s">
        <v>2015</v>
      </c>
      <c r="C834" s="312" t="s">
        <v>15</v>
      </c>
      <c r="D834" s="314">
        <v>11590</v>
      </c>
    </row>
    <row r="835" spans="1:4" x14ac:dyDescent="0.2">
      <c r="A835" s="312" t="s">
        <v>2010</v>
      </c>
      <c r="B835" s="313" t="s">
        <v>1783</v>
      </c>
      <c r="C835" s="312" t="s">
        <v>956</v>
      </c>
      <c r="D835" s="314">
        <v>2599</v>
      </c>
    </row>
    <row r="836" spans="1:4" x14ac:dyDescent="0.2">
      <c r="A836" s="312" t="s">
        <v>2016</v>
      </c>
      <c r="B836" s="313" t="s">
        <v>967</v>
      </c>
      <c r="C836" s="312" t="s">
        <v>297</v>
      </c>
      <c r="D836" s="314">
        <v>9474</v>
      </c>
    </row>
    <row r="837" spans="1:4" x14ac:dyDescent="0.2">
      <c r="A837" s="312" t="s">
        <v>2016</v>
      </c>
      <c r="B837" s="313" t="s">
        <v>967</v>
      </c>
      <c r="C837" s="312" t="s">
        <v>297</v>
      </c>
      <c r="D837" s="314">
        <v>9490</v>
      </c>
    </row>
    <row r="838" spans="1:4" x14ac:dyDescent="0.2">
      <c r="A838" s="312" t="s">
        <v>2017</v>
      </c>
      <c r="B838" s="313" t="s">
        <v>2018</v>
      </c>
      <c r="C838" s="312" t="s">
        <v>15</v>
      </c>
      <c r="D838" s="314">
        <v>1349</v>
      </c>
    </row>
    <row r="839" spans="1:4" x14ac:dyDescent="0.2">
      <c r="A839" s="312" t="s">
        <v>2019</v>
      </c>
      <c r="B839" s="313" t="s">
        <v>2020</v>
      </c>
      <c r="C839" s="312" t="s">
        <v>15</v>
      </c>
      <c r="D839" s="314">
        <v>6902</v>
      </c>
    </row>
    <row r="840" spans="1:4" x14ac:dyDescent="0.2">
      <c r="A840" s="312" t="s">
        <v>2021</v>
      </c>
      <c r="B840" s="313" t="s">
        <v>36</v>
      </c>
      <c r="C840" s="312" t="s">
        <v>15</v>
      </c>
      <c r="D840" s="314">
        <v>890</v>
      </c>
    </row>
    <row r="841" spans="1:4" x14ac:dyDescent="0.2">
      <c r="A841" s="312" t="s">
        <v>746</v>
      </c>
      <c r="B841" s="313" t="s">
        <v>540</v>
      </c>
      <c r="C841" s="312" t="s">
        <v>906</v>
      </c>
      <c r="D841" s="314">
        <v>345</v>
      </c>
    </row>
    <row r="842" spans="1:4" x14ac:dyDescent="0.2">
      <c r="A842" s="312" t="s">
        <v>2022</v>
      </c>
      <c r="B842" s="313" t="s">
        <v>2023</v>
      </c>
      <c r="C842" s="312" t="s">
        <v>111</v>
      </c>
      <c r="D842" s="314">
        <v>49989</v>
      </c>
    </row>
    <row r="843" spans="1:4" x14ac:dyDescent="0.2">
      <c r="A843" s="312" t="s">
        <v>2024</v>
      </c>
      <c r="B843" s="313" t="s">
        <v>2025</v>
      </c>
      <c r="C843" s="312" t="s">
        <v>906</v>
      </c>
      <c r="D843" s="314">
        <v>4760</v>
      </c>
    </row>
    <row r="844" spans="1:4" x14ac:dyDescent="0.2">
      <c r="A844" s="312" t="s">
        <v>2032</v>
      </c>
      <c r="B844" s="313" t="s">
        <v>2033</v>
      </c>
      <c r="C844" s="312" t="s">
        <v>111</v>
      </c>
      <c r="D844" s="314">
        <v>3660</v>
      </c>
    </row>
    <row r="845" spans="1:4" x14ac:dyDescent="0.2">
      <c r="A845" s="312" t="s">
        <v>2034</v>
      </c>
      <c r="B845" s="313" t="s">
        <v>2035</v>
      </c>
      <c r="C845" s="312" t="s">
        <v>1007</v>
      </c>
      <c r="D845" s="314">
        <v>5700</v>
      </c>
    </row>
    <row r="846" spans="1:4" x14ac:dyDescent="0.2">
      <c r="A846" s="312" t="s">
        <v>2036</v>
      </c>
      <c r="B846" s="313" t="s">
        <v>2037</v>
      </c>
      <c r="C846" s="312" t="s">
        <v>111</v>
      </c>
      <c r="D846" s="314">
        <v>1320</v>
      </c>
    </row>
    <row r="847" spans="1:4" x14ac:dyDescent="0.2">
      <c r="A847" s="312" t="s">
        <v>2036</v>
      </c>
      <c r="B847" s="313" t="s">
        <v>2037</v>
      </c>
      <c r="C847" s="312" t="s">
        <v>111</v>
      </c>
      <c r="D847" s="314">
        <v>1643</v>
      </c>
    </row>
    <row r="848" spans="1:4" x14ac:dyDescent="0.2">
      <c r="A848" s="312" t="s">
        <v>2039</v>
      </c>
      <c r="B848" s="313" t="s">
        <v>2040</v>
      </c>
      <c r="C848" s="312" t="s">
        <v>15</v>
      </c>
      <c r="D848" s="314">
        <v>2490</v>
      </c>
    </row>
    <row r="849" spans="1:4" x14ac:dyDescent="0.2">
      <c r="A849" s="312" t="s">
        <v>2041</v>
      </c>
      <c r="B849" s="313" t="s">
        <v>1964</v>
      </c>
      <c r="C849" s="312" t="s">
        <v>15</v>
      </c>
      <c r="D849" s="314">
        <v>8600</v>
      </c>
    </row>
    <row r="850" spans="1:4" x14ac:dyDescent="0.2">
      <c r="A850" s="312" t="s">
        <v>2042</v>
      </c>
      <c r="B850" s="313" t="s">
        <v>1268</v>
      </c>
      <c r="C850" s="312" t="s">
        <v>297</v>
      </c>
      <c r="D850" s="314">
        <v>7705</v>
      </c>
    </row>
    <row r="851" spans="1:4" x14ac:dyDescent="0.2">
      <c r="A851" s="312" t="s">
        <v>2042</v>
      </c>
      <c r="B851" s="313" t="s">
        <v>1268</v>
      </c>
      <c r="C851" s="312" t="s">
        <v>297</v>
      </c>
      <c r="D851" s="314">
        <v>7818</v>
      </c>
    </row>
    <row r="852" spans="1:4" x14ac:dyDescent="0.2">
      <c r="A852" s="312" t="s">
        <v>882</v>
      </c>
      <c r="B852" s="313" t="s">
        <v>612</v>
      </c>
      <c r="C852" s="312" t="s">
        <v>111</v>
      </c>
      <c r="D852" s="314">
        <v>4250</v>
      </c>
    </row>
    <row r="853" spans="1:4" x14ac:dyDescent="0.2">
      <c r="A853" s="312" t="s">
        <v>2043</v>
      </c>
      <c r="B853" s="313" t="s">
        <v>2044</v>
      </c>
      <c r="C853" s="312" t="s">
        <v>111</v>
      </c>
      <c r="D853" s="314">
        <v>825</v>
      </c>
    </row>
    <row r="854" spans="1:4" x14ac:dyDescent="0.2">
      <c r="A854" s="312" t="s">
        <v>2048</v>
      </c>
      <c r="B854" s="313" t="s">
        <v>2049</v>
      </c>
      <c r="C854" s="312" t="s">
        <v>15</v>
      </c>
      <c r="D854" s="314">
        <v>15000</v>
      </c>
    </row>
    <row r="855" spans="1:4" x14ac:dyDescent="0.2">
      <c r="A855" s="312" t="s">
        <v>2050</v>
      </c>
      <c r="B855" s="313" t="s">
        <v>2051</v>
      </c>
      <c r="C855" s="312" t="s">
        <v>906</v>
      </c>
      <c r="D855" s="314">
        <v>3300</v>
      </c>
    </row>
    <row r="856" spans="1:4" x14ac:dyDescent="0.2">
      <c r="A856" s="312" t="s">
        <v>2052</v>
      </c>
      <c r="B856" s="313" t="s">
        <v>2053</v>
      </c>
      <c r="C856" s="312" t="s">
        <v>906</v>
      </c>
      <c r="D856" s="314">
        <v>1020</v>
      </c>
    </row>
    <row r="857" spans="1:4" x14ac:dyDescent="0.2">
      <c r="A857" s="312" t="s">
        <v>2054</v>
      </c>
      <c r="B857" s="313" t="s">
        <v>2055</v>
      </c>
      <c r="C857" s="312" t="s">
        <v>15</v>
      </c>
      <c r="D857" s="314">
        <v>1569</v>
      </c>
    </row>
    <row r="858" spans="1:4" x14ac:dyDescent="0.2">
      <c r="A858" s="312" t="s">
        <v>2056</v>
      </c>
      <c r="B858" s="313" t="s">
        <v>2057</v>
      </c>
      <c r="C858" s="312" t="s">
        <v>906</v>
      </c>
      <c r="D858" s="314">
        <v>9000</v>
      </c>
    </row>
    <row r="859" spans="1:4" x14ac:dyDescent="0.2">
      <c r="A859" s="312" t="s">
        <v>2060</v>
      </c>
      <c r="B859" s="313" t="s">
        <v>591</v>
      </c>
      <c r="C859" s="312" t="s">
        <v>297</v>
      </c>
      <c r="D859" s="314">
        <v>2278</v>
      </c>
    </row>
    <row r="860" spans="1:4" x14ac:dyDescent="0.2">
      <c r="A860" s="312" t="s">
        <v>2061</v>
      </c>
      <c r="B860" s="313" t="s">
        <v>2062</v>
      </c>
      <c r="C860" s="312" t="s">
        <v>111</v>
      </c>
      <c r="D860" s="314">
        <v>4390</v>
      </c>
    </row>
    <row r="861" spans="1:4" x14ac:dyDescent="0.2">
      <c r="A861" s="312" t="s">
        <v>2063</v>
      </c>
      <c r="B861" s="313" t="s">
        <v>2064</v>
      </c>
      <c r="C861" s="312" t="s">
        <v>111</v>
      </c>
      <c r="D861" s="314">
        <v>600</v>
      </c>
    </row>
    <row r="862" spans="1:4" x14ac:dyDescent="0.2">
      <c r="A862" s="312" t="s">
        <v>2065</v>
      </c>
      <c r="B862" s="313" t="s">
        <v>2066</v>
      </c>
      <c r="C862" s="312" t="s">
        <v>906</v>
      </c>
      <c r="D862" s="314">
        <v>6290</v>
      </c>
    </row>
    <row r="863" spans="1:4" x14ac:dyDescent="0.2">
      <c r="A863" s="312" t="s">
        <v>2067</v>
      </c>
      <c r="B863" s="313" t="s">
        <v>2068</v>
      </c>
      <c r="C863" s="312" t="s">
        <v>111</v>
      </c>
      <c r="D863" s="314">
        <v>1999</v>
      </c>
    </row>
    <row r="864" spans="1:4" x14ac:dyDescent="0.2">
      <c r="A864" s="312" t="s">
        <v>2069</v>
      </c>
      <c r="B864" s="313" t="s">
        <v>1187</v>
      </c>
      <c r="C864" s="312" t="s">
        <v>15</v>
      </c>
      <c r="D864" s="314">
        <v>4190</v>
      </c>
    </row>
    <row r="865" spans="1:4" x14ac:dyDescent="0.2">
      <c r="A865" s="312" t="s">
        <v>2069</v>
      </c>
      <c r="B865" s="313" t="s">
        <v>1187</v>
      </c>
      <c r="C865" s="312" t="s">
        <v>15</v>
      </c>
      <c r="D865" s="314">
        <v>7009</v>
      </c>
    </row>
    <row r="866" spans="1:4" x14ac:dyDescent="0.2">
      <c r="A866" s="312" t="s">
        <v>2071</v>
      </c>
      <c r="B866" s="313" t="s">
        <v>2072</v>
      </c>
      <c r="C866" s="312" t="s">
        <v>15</v>
      </c>
      <c r="D866" s="314">
        <v>4998</v>
      </c>
    </row>
    <row r="867" spans="1:4" x14ac:dyDescent="0.2">
      <c r="A867" s="312" t="s">
        <v>2074</v>
      </c>
      <c r="B867" s="313" t="s">
        <v>2075</v>
      </c>
      <c r="C867" s="312" t="s">
        <v>906</v>
      </c>
      <c r="D867" s="314">
        <v>1990</v>
      </c>
    </row>
    <row r="868" spans="1:4" x14ac:dyDescent="0.2">
      <c r="A868" s="312" t="s">
        <v>2147</v>
      </c>
      <c r="B868" s="313" t="s">
        <v>2148</v>
      </c>
      <c r="C868" s="312" t="s">
        <v>15</v>
      </c>
      <c r="D868" s="314">
        <v>2239</v>
      </c>
    </row>
    <row r="869" spans="1:4" x14ac:dyDescent="0.2">
      <c r="A869" s="312" t="s">
        <v>2149</v>
      </c>
      <c r="B869" s="313" t="s">
        <v>2150</v>
      </c>
      <c r="C869" s="312" t="s">
        <v>1007</v>
      </c>
      <c r="D869" s="314">
        <v>4069</v>
      </c>
    </row>
    <row r="870" spans="1:4" x14ac:dyDescent="0.2">
      <c r="A870" s="312" t="s">
        <v>2151</v>
      </c>
      <c r="B870" s="313" t="s">
        <v>2152</v>
      </c>
      <c r="C870" s="312" t="s">
        <v>942</v>
      </c>
      <c r="D870" s="314">
        <v>714</v>
      </c>
    </row>
    <row r="871" spans="1:4" x14ac:dyDescent="0.2">
      <c r="A871" s="312" t="s">
        <v>2151</v>
      </c>
      <c r="B871" s="313" t="s">
        <v>2152</v>
      </c>
      <c r="C871" s="312" t="s">
        <v>942</v>
      </c>
      <c r="D871" s="314">
        <v>1608</v>
      </c>
    </row>
    <row r="872" spans="1:4" x14ac:dyDescent="0.2">
      <c r="A872" s="312" t="s">
        <v>2153</v>
      </c>
      <c r="B872" s="313" t="s">
        <v>2154</v>
      </c>
      <c r="C872" s="312" t="s">
        <v>111</v>
      </c>
      <c r="D872" s="314">
        <v>11602</v>
      </c>
    </row>
    <row r="873" spans="1:4" x14ac:dyDescent="0.2">
      <c r="A873" s="312" t="s">
        <v>2155</v>
      </c>
      <c r="B873" s="313" t="s">
        <v>2030</v>
      </c>
      <c r="C873" s="312" t="s">
        <v>15</v>
      </c>
      <c r="D873" s="314">
        <v>35301</v>
      </c>
    </row>
    <row r="874" spans="1:4" x14ac:dyDescent="0.2">
      <c r="A874" s="312" t="s">
        <v>2156</v>
      </c>
      <c r="B874" s="313" t="s">
        <v>2157</v>
      </c>
      <c r="C874" s="312" t="s">
        <v>111</v>
      </c>
      <c r="D874" s="314">
        <v>19520</v>
      </c>
    </row>
    <row r="875" spans="1:4" x14ac:dyDescent="0.2">
      <c r="A875" s="312" t="s">
        <v>2158</v>
      </c>
      <c r="B875" s="313" t="s">
        <v>2159</v>
      </c>
      <c r="C875" s="312" t="s">
        <v>111</v>
      </c>
      <c r="D875" s="314">
        <v>292</v>
      </c>
    </row>
    <row r="876" spans="1:4" x14ac:dyDescent="0.2">
      <c r="A876" s="312" t="s">
        <v>2158</v>
      </c>
      <c r="B876" s="313" t="s">
        <v>2159</v>
      </c>
      <c r="C876" s="312" t="s">
        <v>111</v>
      </c>
      <c r="D876" s="314">
        <v>8692</v>
      </c>
    </row>
    <row r="877" spans="1:4" x14ac:dyDescent="0.2">
      <c r="A877" s="312" t="s">
        <v>2162</v>
      </c>
      <c r="B877" s="313" t="s">
        <v>2163</v>
      </c>
      <c r="C877" s="312" t="s">
        <v>956</v>
      </c>
      <c r="D877" s="314">
        <v>3699</v>
      </c>
    </row>
    <row r="878" spans="1:4" x14ac:dyDescent="0.2">
      <c r="A878" s="312" t="s">
        <v>2164</v>
      </c>
      <c r="B878" s="313" t="s">
        <v>2165</v>
      </c>
      <c r="C878" s="312" t="s">
        <v>942</v>
      </c>
      <c r="D878" s="314">
        <v>2208</v>
      </c>
    </row>
    <row r="879" spans="1:4" x14ac:dyDescent="0.2">
      <c r="A879" s="312" t="s">
        <v>2166</v>
      </c>
      <c r="B879" s="313" t="s">
        <v>2167</v>
      </c>
      <c r="C879" s="312" t="s">
        <v>947</v>
      </c>
      <c r="D879" s="314">
        <v>4165</v>
      </c>
    </row>
    <row r="880" spans="1:4" x14ac:dyDescent="0.2">
      <c r="A880" s="312" t="s">
        <v>2168</v>
      </c>
      <c r="B880" s="313" t="s">
        <v>2169</v>
      </c>
      <c r="C880" s="312" t="s">
        <v>111</v>
      </c>
      <c r="D880" s="314">
        <v>191</v>
      </c>
    </row>
    <row r="881" spans="1:4" x14ac:dyDescent="0.2">
      <c r="A881" s="312" t="s">
        <v>2170</v>
      </c>
      <c r="B881" s="313" t="s">
        <v>2171</v>
      </c>
      <c r="C881" s="312" t="s">
        <v>906</v>
      </c>
      <c r="D881" s="314">
        <v>2170</v>
      </c>
    </row>
    <row r="882" spans="1:4" x14ac:dyDescent="0.2">
      <c r="A882" s="312" t="s">
        <v>2172</v>
      </c>
      <c r="B882" s="313" t="s">
        <v>2173</v>
      </c>
      <c r="C882" s="312" t="s">
        <v>906</v>
      </c>
      <c r="D882" s="314">
        <v>1309</v>
      </c>
    </row>
    <row r="883" spans="1:4" x14ac:dyDescent="0.2">
      <c r="A883" s="312" t="s">
        <v>2172</v>
      </c>
      <c r="B883" s="313" t="s">
        <v>2173</v>
      </c>
      <c r="C883" s="312" t="s">
        <v>906</v>
      </c>
      <c r="D883" s="314">
        <v>39270</v>
      </c>
    </row>
    <row r="884" spans="1:4" x14ac:dyDescent="0.2">
      <c r="A884" s="312" t="s">
        <v>2174</v>
      </c>
      <c r="B884" s="313" t="s">
        <v>2175</v>
      </c>
      <c r="C884" s="312" t="s">
        <v>15</v>
      </c>
      <c r="D884" s="314">
        <v>3014</v>
      </c>
    </row>
    <row r="885" spans="1:4" x14ac:dyDescent="0.2">
      <c r="A885" s="312" t="s">
        <v>2177</v>
      </c>
      <c r="B885" s="313" t="s">
        <v>293</v>
      </c>
      <c r="C885" s="312" t="s">
        <v>15</v>
      </c>
      <c r="D885" s="314">
        <v>2920</v>
      </c>
    </row>
    <row r="886" spans="1:4" x14ac:dyDescent="0.2">
      <c r="A886" s="312" t="s">
        <v>2178</v>
      </c>
      <c r="B886" s="313" t="s">
        <v>2179</v>
      </c>
      <c r="C886" s="312" t="s">
        <v>15</v>
      </c>
      <c r="D886" s="314">
        <v>2011</v>
      </c>
    </row>
    <row r="887" spans="1:4" x14ac:dyDescent="0.2">
      <c r="A887" s="312" t="s">
        <v>2180</v>
      </c>
      <c r="B887" s="313" t="s">
        <v>2181</v>
      </c>
      <c r="C887" s="312" t="s">
        <v>906</v>
      </c>
      <c r="D887" s="314">
        <v>4690</v>
      </c>
    </row>
    <row r="888" spans="1:4" x14ac:dyDescent="0.2">
      <c r="A888" s="312" t="s">
        <v>2182</v>
      </c>
      <c r="B888" s="313" t="s">
        <v>1287</v>
      </c>
      <c r="C888" s="312" t="s">
        <v>906</v>
      </c>
      <c r="D888" s="314">
        <v>1550</v>
      </c>
    </row>
    <row r="889" spans="1:4" x14ac:dyDescent="0.2">
      <c r="A889" s="312" t="s">
        <v>2183</v>
      </c>
      <c r="B889" s="313" t="s">
        <v>2184</v>
      </c>
      <c r="C889" s="312" t="s">
        <v>942</v>
      </c>
      <c r="D889" s="314">
        <v>3599</v>
      </c>
    </row>
    <row r="890" spans="1:4" x14ac:dyDescent="0.2">
      <c r="A890" s="312" t="s">
        <v>2185</v>
      </c>
      <c r="B890" s="313" t="s">
        <v>1885</v>
      </c>
      <c r="C890" s="312" t="s">
        <v>906</v>
      </c>
      <c r="D890" s="314">
        <v>2850</v>
      </c>
    </row>
    <row r="891" spans="1:4" x14ac:dyDescent="0.2">
      <c r="A891" s="312" t="s">
        <v>2186</v>
      </c>
      <c r="B891" s="313" t="s">
        <v>2187</v>
      </c>
      <c r="C891" s="312" t="s">
        <v>15</v>
      </c>
      <c r="D891" s="314">
        <v>7688</v>
      </c>
    </row>
    <row r="892" spans="1:4" x14ac:dyDescent="0.2">
      <c r="A892" s="312" t="s">
        <v>2188</v>
      </c>
      <c r="B892" s="313" t="s">
        <v>2189</v>
      </c>
      <c r="C892" s="312" t="s">
        <v>15</v>
      </c>
      <c r="D892" s="314">
        <v>12482</v>
      </c>
    </row>
    <row r="893" spans="1:4" x14ac:dyDescent="0.2">
      <c r="A893" s="312" t="s">
        <v>2191</v>
      </c>
      <c r="B893" s="313" t="s">
        <v>2192</v>
      </c>
      <c r="C893" s="312" t="s">
        <v>15</v>
      </c>
      <c r="D893" s="314">
        <v>1000</v>
      </c>
    </row>
    <row r="894" spans="1:4" x14ac:dyDescent="0.2">
      <c r="A894" s="312" t="s">
        <v>2191</v>
      </c>
      <c r="B894" s="313" t="s">
        <v>2192</v>
      </c>
      <c r="C894" s="312" t="s">
        <v>15</v>
      </c>
      <c r="D894" s="314">
        <v>5990</v>
      </c>
    </row>
    <row r="895" spans="1:4" x14ac:dyDescent="0.2">
      <c r="A895" s="312" t="s">
        <v>2191</v>
      </c>
      <c r="B895" s="313" t="s">
        <v>2192</v>
      </c>
      <c r="C895" s="312" t="s">
        <v>15</v>
      </c>
      <c r="D895" s="314">
        <v>8330</v>
      </c>
    </row>
    <row r="896" spans="1:4" x14ac:dyDescent="0.2">
      <c r="A896" s="312" t="s">
        <v>2193</v>
      </c>
      <c r="B896" s="313" t="s">
        <v>2194</v>
      </c>
      <c r="C896" s="312" t="s">
        <v>956</v>
      </c>
      <c r="D896" s="314">
        <v>5819</v>
      </c>
    </row>
    <row r="897" spans="1:5" x14ac:dyDescent="0.2">
      <c r="A897" s="312" t="s">
        <v>2195</v>
      </c>
      <c r="B897" s="313" t="s">
        <v>2196</v>
      </c>
      <c r="C897" s="312" t="s">
        <v>15</v>
      </c>
      <c r="D897" s="314">
        <v>3332</v>
      </c>
    </row>
    <row r="898" spans="1:5" x14ac:dyDescent="0.2">
      <c r="A898" s="312" t="s">
        <v>2197</v>
      </c>
      <c r="B898" s="313" t="s">
        <v>2198</v>
      </c>
      <c r="C898" s="312" t="s">
        <v>111</v>
      </c>
      <c r="D898" s="314">
        <v>285</v>
      </c>
    </row>
    <row r="899" spans="1:5" x14ac:dyDescent="0.2">
      <c r="A899" s="312" t="s">
        <v>2199</v>
      </c>
      <c r="B899" s="313" t="s">
        <v>2200</v>
      </c>
      <c r="C899" s="312" t="s">
        <v>111</v>
      </c>
      <c r="D899" s="314">
        <v>4046</v>
      </c>
    </row>
    <row r="900" spans="1:5" x14ac:dyDescent="0.2">
      <c r="A900" s="312" t="s">
        <v>2201</v>
      </c>
      <c r="B900" s="313" t="s">
        <v>2202</v>
      </c>
      <c r="C900" s="312" t="s">
        <v>111</v>
      </c>
      <c r="D900" s="314">
        <v>3570</v>
      </c>
    </row>
    <row r="901" spans="1:5" x14ac:dyDescent="0.2">
      <c r="A901" s="312" t="s">
        <v>2203</v>
      </c>
      <c r="B901" s="313" t="s">
        <v>2204</v>
      </c>
      <c r="C901" s="312" t="s">
        <v>947</v>
      </c>
      <c r="D901" s="314">
        <v>3570</v>
      </c>
    </row>
    <row r="902" spans="1:5" x14ac:dyDescent="0.2">
      <c r="A902" s="312" t="s">
        <v>2212</v>
      </c>
      <c r="B902" s="313" t="s">
        <v>2213</v>
      </c>
      <c r="C902" s="312" t="s">
        <v>278</v>
      </c>
      <c r="D902" s="314">
        <v>499</v>
      </c>
    </row>
    <row r="903" spans="1:5" x14ac:dyDescent="0.2">
      <c r="A903" s="312" t="s">
        <v>2214</v>
      </c>
      <c r="B903" s="313" t="s">
        <v>1329</v>
      </c>
      <c r="C903" s="312" t="s">
        <v>942</v>
      </c>
      <c r="D903" s="314">
        <v>10710</v>
      </c>
    </row>
    <row r="904" spans="1:5" x14ac:dyDescent="0.2">
      <c r="A904" s="312" t="s">
        <v>2215</v>
      </c>
      <c r="B904" s="313" t="s">
        <v>1684</v>
      </c>
      <c r="C904" s="312" t="s">
        <v>942</v>
      </c>
      <c r="D904" s="314">
        <v>999</v>
      </c>
    </row>
    <row r="905" spans="1:5" x14ac:dyDescent="0.2">
      <c r="A905" s="312" t="s">
        <v>2216</v>
      </c>
      <c r="B905" s="313" t="s">
        <v>2217</v>
      </c>
      <c r="C905" s="312" t="s">
        <v>973</v>
      </c>
      <c r="D905" s="314">
        <v>6069</v>
      </c>
    </row>
    <row r="906" spans="1:5" x14ac:dyDescent="0.2">
      <c r="A906" s="312" t="s">
        <v>2218</v>
      </c>
      <c r="B906" s="313" t="s">
        <v>1735</v>
      </c>
      <c r="C906" s="312" t="s">
        <v>906</v>
      </c>
      <c r="D906" s="314">
        <v>952</v>
      </c>
    </row>
    <row r="907" spans="1:5" x14ac:dyDescent="0.2">
      <c r="A907" s="312" t="s">
        <v>2219</v>
      </c>
      <c r="B907" s="313" t="s">
        <v>2220</v>
      </c>
      <c r="C907" s="312" t="s">
        <v>111</v>
      </c>
      <c r="D907" s="314">
        <v>1428</v>
      </c>
    </row>
    <row r="908" spans="1:5" x14ac:dyDescent="0.2">
      <c r="A908" s="312" t="s">
        <v>2221</v>
      </c>
      <c r="B908" s="313" t="s">
        <v>1150</v>
      </c>
      <c r="C908" s="312" t="s">
        <v>15</v>
      </c>
      <c r="D908" s="314">
        <v>2000</v>
      </c>
    </row>
    <row r="909" spans="1:5" x14ac:dyDescent="0.2">
      <c r="A909" s="312" t="s">
        <v>2230</v>
      </c>
      <c r="B909" s="313" t="s">
        <v>2231</v>
      </c>
      <c r="C909" s="312" t="s">
        <v>15</v>
      </c>
      <c r="D909" s="314">
        <v>8890</v>
      </c>
    </row>
    <row r="910" spans="1:5" ht="13.5" thickBot="1" x14ac:dyDescent="0.25">
      <c r="A910" s="312" t="s">
        <v>2234</v>
      </c>
      <c r="B910" s="313" t="s">
        <v>2235</v>
      </c>
      <c r="C910" s="312" t="s">
        <v>906</v>
      </c>
      <c r="D910" s="402">
        <v>490</v>
      </c>
      <c r="E910" s="399"/>
    </row>
    <row r="911" spans="1:5" x14ac:dyDescent="0.2">
      <c r="A911" s="312" t="s">
        <v>2239</v>
      </c>
      <c r="B911" s="313" t="s">
        <v>2240</v>
      </c>
      <c r="C911" s="312" t="s">
        <v>906</v>
      </c>
      <c r="D911" s="314">
        <v>3998</v>
      </c>
    </row>
    <row r="912" spans="1:5" x14ac:dyDescent="0.2">
      <c r="A912" s="312" t="s">
        <v>2241</v>
      </c>
      <c r="B912" s="313" t="s">
        <v>2242</v>
      </c>
      <c r="C912" s="312" t="s">
        <v>1007</v>
      </c>
      <c r="D912" s="314">
        <v>595</v>
      </c>
    </row>
    <row r="913" spans="1:4" x14ac:dyDescent="0.2">
      <c r="A913" s="312" t="s">
        <v>2259</v>
      </c>
      <c r="B913" s="313" t="s">
        <v>2260</v>
      </c>
      <c r="C913" s="312" t="s">
        <v>297</v>
      </c>
      <c r="D913" s="314">
        <v>36594</v>
      </c>
    </row>
    <row r="914" spans="1:4" x14ac:dyDescent="0.2">
      <c r="A914" s="312" t="s">
        <v>2277</v>
      </c>
      <c r="B914" s="313" t="s">
        <v>2278</v>
      </c>
      <c r="C914" s="312" t="s">
        <v>15</v>
      </c>
      <c r="D914" s="314">
        <v>16990</v>
      </c>
    </row>
    <row r="915" spans="1:4" x14ac:dyDescent="0.2">
      <c r="A915" s="312" t="s">
        <v>2279</v>
      </c>
      <c r="B915" s="313" t="s">
        <v>2280</v>
      </c>
      <c r="C915" s="312" t="s">
        <v>15</v>
      </c>
      <c r="D915" s="314">
        <v>4967</v>
      </c>
    </row>
    <row r="916" spans="1:4" x14ac:dyDescent="0.2">
      <c r="A916" s="312" t="s">
        <v>2281</v>
      </c>
      <c r="B916" s="313" t="s">
        <v>2282</v>
      </c>
      <c r="C916" s="312" t="s">
        <v>111</v>
      </c>
      <c r="D916" s="314">
        <v>2690</v>
      </c>
    </row>
    <row r="917" spans="1:4" x14ac:dyDescent="0.2">
      <c r="A917" s="312" t="s">
        <v>2283</v>
      </c>
      <c r="B917" s="313" t="s">
        <v>2284</v>
      </c>
      <c r="C917" s="312" t="s">
        <v>15</v>
      </c>
      <c r="D917" s="314">
        <v>4590</v>
      </c>
    </row>
    <row r="918" spans="1:4" x14ac:dyDescent="0.2">
      <c r="A918" s="312" t="s">
        <v>2285</v>
      </c>
      <c r="B918" s="313" t="s">
        <v>2286</v>
      </c>
      <c r="C918" s="312" t="s">
        <v>15</v>
      </c>
      <c r="D918" s="314">
        <v>8752</v>
      </c>
    </row>
    <row r="919" spans="1:4" x14ac:dyDescent="0.2">
      <c r="A919" s="312" t="s">
        <v>861</v>
      </c>
      <c r="B919" s="313" t="s">
        <v>599</v>
      </c>
      <c r="C919" s="312" t="s">
        <v>906</v>
      </c>
      <c r="D919" s="314">
        <v>4105</v>
      </c>
    </row>
    <row r="920" spans="1:4" x14ac:dyDescent="0.2">
      <c r="A920" s="312" t="s">
        <v>2287</v>
      </c>
      <c r="B920" s="313" t="s">
        <v>2288</v>
      </c>
      <c r="C920" s="312" t="s">
        <v>111</v>
      </c>
      <c r="D920" s="314">
        <v>216</v>
      </c>
    </row>
    <row r="921" spans="1:4" x14ac:dyDescent="0.2">
      <c r="A921" s="312" t="s">
        <v>2298</v>
      </c>
      <c r="B921" s="313" t="s">
        <v>2299</v>
      </c>
      <c r="C921" s="312" t="s">
        <v>15</v>
      </c>
      <c r="D921" s="314">
        <v>7500</v>
      </c>
    </row>
    <row r="922" spans="1:4" x14ac:dyDescent="0.2">
      <c r="A922" s="312" t="s">
        <v>2300</v>
      </c>
      <c r="B922" s="313" t="s">
        <v>2301</v>
      </c>
      <c r="C922" s="312" t="s">
        <v>111</v>
      </c>
      <c r="D922" s="314">
        <v>421</v>
      </c>
    </row>
    <row r="923" spans="1:4" x14ac:dyDescent="0.2">
      <c r="A923" s="312" t="s">
        <v>2302</v>
      </c>
      <c r="B923" s="313" t="s">
        <v>2303</v>
      </c>
      <c r="C923" s="312" t="s">
        <v>15</v>
      </c>
      <c r="D923" s="314">
        <v>1289</v>
      </c>
    </row>
    <row r="924" spans="1:4" x14ac:dyDescent="0.2">
      <c r="A924" s="312" t="s">
        <v>2304</v>
      </c>
      <c r="B924" s="313" t="s">
        <v>2305</v>
      </c>
      <c r="C924" s="312" t="s">
        <v>297</v>
      </c>
      <c r="D924" s="314">
        <v>6599</v>
      </c>
    </row>
    <row r="925" spans="1:4" x14ac:dyDescent="0.2">
      <c r="A925" s="312" t="s">
        <v>2306</v>
      </c>
      <c r="B925" s="313" t="s">
        <v>2307</v>
      </c>
      <c r="C925" s="312" t="s">
        <v>1007</v>
      </c>
      <c r="D925" s="314">
        <v>1175</v>
      </c>
    </row>
    <row r="926" spans="1:4" x14ac:dyDescent="0.2">
      <c r="A926" s="312" t="s">
        <v>2308</v>
      </c>
      <c r="B926" s="313" t="s">
        <v>2309</v>
      </c>
      <c r="C926" s="312" t="s">
        <v>1007</v>
      </c>
      <c r="D926" s="314">
        <v>2939</v>
      </c>
    </row>
    <row r="927" spans="1:4" x14ac:dyDescent="0.2">
      <c r="A927" s="312" t="s">
        <v>2310</v>
      </c>
      <c r="B927" s="313" t="s">
        <v>2311</v>
      </c>
      <c r="C927" s="312" t="s">
        <v>111</v>
      </c>
      <c r="D927" s="314">
        <v>2490</v>
      </c>
    </row>
    <row r="928" spans="1:4" x14ac:dyDescent="0.2">
      <c r="A928" s="312" t="s">
        <v>2312</v>
      </c>
      <c r="B928" s="313" t="s">
        <v>2313</v>
      </c>
      <c r="C928" s="312" t="s">
        <v>111</v>
      </c>
      <c r="D928" s="314">
        <v>3678</v>
      </c>
    </row>
    <row r="929" spans="1:4" x14ac:dyDescent="0.2">
      <c r="A929" s="312" t="s">
        <v>2330</v>
      </c>
      <c r="B929" s="313" t="s">
        <v>2331</v>
      </c>
      <c r="C929" s="312" t="s">
        <v>906</v>
      </c>
      <c r="D929" s="314">
        <v>1095</v>
      </c>
    </row>
    <row r="930" spans="1:4" x14ac:dyDescent="0.2">
      <c r="A930" s="312" t="s">
        <v>2332</v>
      </c>
      <c r="B930" s="313" t="s">
        <v>11</v>
      </c>
      <c r="C930" s="312" t="s">
        <v>15</v>
      </c>
      <c r="D930" s="314">
        <v>1670</v>
      </c>
    </row>
  </sheetData>
  <mergeCells count="1">
    <mergeCell ref="A1:D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789"/>
  <sheetViews>
    <sheetView showGridLines="0" topLeftCell="A181" workbookViewId="0">
      <selection sqref="A1:D1"/>
    </sheetView>
  </sheetViews>
  <sheetFormatPr baseColWidth="10" defaultColWidth="11.42578125" defaultRowHeight="12.75" x14ac:dyDescent="0.2"/>
  <cols>
    <col min="1" max="1" width="8" style="467" bestFit="1" customWidth="1"/>
    <col min="2" max="2" width="32" style="467" bestFit="1" customWidth="1"/>
    <col min="3" max="3" width="3.5703125" style="467" bestFit="1" customWidth="1"/>
    <col min="4" max="4" width="6.7109375" style="467" bestFit="1" customWidth="1"/>
    <col min="5" max="5" width="21.42578125" style="467" bestFit="1" customWidth="1"/>
    <col min="6" max="6" width="11" style="307" customWidth="1"/>
    <col min="7" max="16384" width="11.42578125" style="308"/>
  </cols>
  <sheetData>
    <row r="1" spans="1:29" ht="12.75" customHeight="1" x14ac:dyDescent="0.2">
      <c r="A1" s="606" t="s">
        <v>2328</v>
      </c>
      <c r="B1" s="606"/>
      <c r="C1" s="606"/>
      <c r="D1" s="606"/>
    </row>
    <row r="2" spans="1:29" x14ac:dyDescent="0.2">
      <c r="A2" s="606"/>
      <c r="B2" s="606"/>
      <c r="C2" s="606"/>
      <c r="D2" s="606"/>
      <c r="E2" s="606"/>
      <c r="F2" s="310"/>
      <c r="G2" s="309"/>
      <c r="H2" s="309"/>
      <c r="I2" s="309"/>
      <c r="J2" s="309"/>
      <c r="K2" s="309"/>
      <c r="L2" s="309"/>
      <c r="M2" s="309"/>
      <c r="N2" s="309"/>
      <c r="O2" s="309"/>
      <c r="P2" s="309"/>
      <c r="Q2" s="309"/>
      <c r="R2" s="309"/>
      <c r="S2" s="309"/>
      <c r="T2" s="309"/>
      <c r="U2" s="309"/>
      <c r="V2" s="309"/>
      <c r="W2" s="309"/>
      <c r="X2" s="309"/>
      <c r="Y2" s="309"/>
      <c r="Z2" s="309"/>
      <c r="AA2" s="309"/>
      <c r="AB2" s="309"/>
      <c r="AC2" s="309"/>
    </row>
    <row r="3" spans="1:29" ht="13.5" thickBot="1" x14ac:dyDescent="0.25">
      <c r="A3" s="606"/>
      <c r="B3" s="606"/>
      <c r="C3" s="606"/>
      <c r="D3" s="606"/>
      <c r="E3" s="606"/>
      <c r="F3" s="310"/>
      <c r="G3" s="309"/>
      <c r="H3" s="309"/>
      <c r="I3" s="309"/>
      <c r="J3" s="309"/>
      <c r="K3" s="309"/>
      <c r="L3" s="309"/>
      <c r="M3" s="309"/>
      <c r="N3" s="309"/>
      <c r="O3" s="309"/>
      <c r="P3" s="309"/>
      <c r="Q3" s="309"/>
      <c r="R3" s="309"/>
      <c r="S3" s="309"/>
      <c r="T3" s="309"/>
      <c r="U3" s="309"/>
      <c r="V3" s="309"/>
      <c r="W3" s="309"/>
      <c r="X3" s="309"/>
      <c r="Y3" s="309"/>
      <c r="Z3" s="309"/>
      <c r="AA3" s="309"/>
      <c r="AB3" s="309"/>
      <c r="AC3" s="309"/>
    </row>
    <row r="4" spans="1:29" ht="60" customHeight="1" thickBot="1" x14ac:dyDescent="0.25">
      <c r="A4" s="311" t="s">
        <v>924</v>
      </c>
      <c r="B4" s="311" t="s">
        <v>17</v>
      </c>
      <c r="C4" s="311" t="s">
        <v>925</v>
      </c>
      <c r="D4" s="311" t="s">
        <v>926</v>
      </c>
      <c r="E4" s="311" t="s">
        <v>927</v>
      </c>
      <c r="F4" s="311" t="s">
        <v>928</v>
      </c>
    </row>
    <row r="5" spans="1:29" ht="11.45" customHeight="1" x14ac:dyDescent="0.2">
      <c r="A5" s="312" t="s">
        <v>49</v>
      </c>
      <c r="B5" s="313" t="s">
        <v>123</v>
      </c>
      <c r="C5" s="312" t="s">
        <v>15</v>
      </c>
      <c r="D5" s="314">
        <v>1349</v>
      </c>
      <c r="E5" s="313" t="s">
        <v>945</v>
      </c>
      <c r="F5" s="315" t="str">
        <f>IF(IF(A5="","",COUNTIF(CONSOLIDADO!$A:$A,$A5))=0,"REVISAR","OK")</f>
        <v>OK</v>
      </c>
    </row>
    <row r="6" spans="1:29" ht="11.45" customHeight="1" x14ac:dyDescent="0.2">
      <c r="A6" s="312" t="s">
        <v>49</v>
      </c>
      <c r="B6" s="313" t="s">
        <v>123</v>
      </c>
      <c r="C6" s="312" t="s">
        <v>15</v>
      </c>
      <c r="D6" s="314">
        <v>2689</v>
      </c>
      <c r="E6" s="313" t="s">
        <v>948</v>
      </c>
      <c r="F6" s="315" t="str">
        <f>IF(IF(A6="","",COUNTIF(CONSOLIDADO!$A:$A,$A6))=0,"REVISAR","OK")</f>
        <v>OK</v>
      </c>
    </row>
    <row r="7" spans="1:29" ht="11.45" customHeight="1" x14ac:dyDescent="0.2">
      <c r="A7" s="312" t="s">
        <v>49</v>
      </c>
      <c r="B7" s="313" t="s">
        <v>123</v>
      </c>
      <c r="C7" s="312" t="s">
        <v>15</v>
      </c>
      <c r="D7" s="314">
        <v>2691</v>
      </c>
      <c r="E7" s="313" t="s">
        <v>948</v>
      </c>
      <c r="F7" s="315" t="str">
        <f>IF(IF(A7="","",COUNTIF(CONSOLIDADO!$A:$A,$A7))=0,"REVISAR","OK")</f>
        <v>OK</v>
      </c>
    </row>
    <row r="8" spans="1:29" ht="11.45" customHeight="1" x14ac:dyDescent="0.2">
      <c r="A8" s="312" t="s">
        <v>49</v>
      </c>
      <c r="B8" s="313" t="s">
        <v>123</v>
      </c>
      <c r="C8" s="312" t="s">
        <v>15</v>
      </c>
      <c r="D8" s="314">
        <v>2692</v>
      </c>
      <c r="E8" s="313" t="s">
        <v>2146</v>
      </c>
      <c r="F8" s="315" t="str">
        <f>IF(IF(A8="","",COUNTIF(CONSOLIDADO!$A:$A,$A8))=0,"REVISAR","OK")</f>
        <v>OK</v>
      </c>
    </row>
    <row r="9" spans="1:29" ht="11.45" customHeight="1" x14ac:dyDescent="0.2">
      <c r="A9" s="312" t="s">
        <v>49</v>
      </c>
      <c r="B9" s="313" t="s">
        <v>123</v>
      </c>
      <c r="C9" s="312" t="s">
        <v>15</v>
      </c>
      <c r="D9" s="314">
        <v>3500</v>
      </c>
      <c r="E9" s="313" t="s">
        <v>2274</v>
      </c>
      <c r="F9" s="315" t="str">
        <f>IF(IF(A9="","",COUNTIF(CONSOLIDADO!$A:$A,$A9))=0,"REVISAR","OK")</f>
        <v>OK</v>
      </c>
    </row>
    <row r="10" spans="1:29" ht="11.45" customHeight="1" x14ac:dyDescent="0.2">
      <c r="A10" s="312" t="s">
        <v>49</v>
      </c>
      <c r="B10" s="313" t="s">
        <v>123</v>
      </c>
      <c r="C10" s="312" t="s">
        <v>15</v>
      </c>
      <c r="D10" s="314">
        <v>4895</v>
      </c>
      <c r="E10" s="313" t="s">
        <v>930</v>
      </c>
      <c r="F10" s="315" t="str">
        <f>IF(IF(A10="","",COUNTIF(CONSOLIDADO!$A:$A,$A10))=0,"REVISAR","OK")</f>
        <v>OK</v>
      </c>
    </row>
    <row r="11" spans="1:29" ht="11.45" customHeight="1" x14ac:dyDescent="0.2">
      <c r="A11" s="312" t="s">
        <v>49</v>
      </c>
      <c r="B11" s="313" t="s">
        <v>123</v>
      </c>
      <c r="C11" s="312" t="s">
        <v>15</v>
      </c>
      <c r="D11" s="314">
        <v>5384</v>
      </c>
      <c r="E11" s="313" t="s">
        <v>2070</v>
      </c>
      <c r="F11" s="315" t="str">
        <f>IF(IF(A11="","",COUNTIF(CONSOLIDADO!$A:$A,$A11))=0,"REVISAR","OK")</f>
        <v>OK</v>
      </c>
    </row>
    <row r="12" spans="1:29" ht="11.45" customHeight="1" x14ac:dyDescent="0.2">
      <c r="A12" s="312" t="s">
        <v>49</v>
      </c>
      <c r="B12" s="313" t="s">
        <v>123</v>
      </c>
      <c r="C12" s="312" t="s">
        <v>15</v>
      </c>
      <c r="D12" s="314">
        <v>5673</v>
      </c>
      <c r="E12" s="313" t="s">
        <v>950</v>
      </c>
      <c r="F12" s="315" t="str">
        <f>IF(IF(A12="","",COUNTIF(CONSOLIDADO!$A:$A,$A12))=0,"REVISAR","OK")</f>
        <v>OK</v>
      </c>
    </row>
    <row r="13" spans="1:29" ht="11.45" customHeight="1" x14ac:dyDescent="0.2">
      <c r="A13" s="312" t="s">
        <v>49</v>
      </c>
      <c r="B13" s="313" t="s">
        <v>123</v>
      </c>
      <c r="C13" s="312" t="s">
        <v>15</v>
      </c>
      <c r="D13" s="314">
        <v>5712</v>
      </c>
      <c r="E13" s="313" t="s">
        <v>938</v>
      </c>
      <c r="F13" s="315" t="str">
        <f>IF(IF(A13="","",COUNTIF(CONSOLIDADO!$A:$A,$A13))=0,"REVISAR","OK")</f>
        <v>OK</v>
      </c>
    </row>
    <row r="14" spans="1:29" ht="11.45" customHeight="1" x14ac:dyDescent="0.2">
      <c r="A14" s="312" t="s">
        <v>49</v>
      </c>
      <c r="B14" s="313" t="s">
        <v>123</v>
      </c>
      <c r="C14" s="312" t="s">
        <v>15</v>
      </c>
      <c r="D14" s="314">
        <v>5900</v>
      </c>
      <c r="E14" s="313" t="s">
        <v>976</v>
      </c>
      <c r="F14" s="315" t="str">
        <f>IF(IF(A14="","",COUNTIF(CONSOLIDADO!$A:$A,$A14))=0,"REVISAR","OK")</f>
        <v>OK</v>
      </c>
    </row>
    <row r="15" spans="1:29" ht="11.45" customHeight="1" x14ac:dyDescent="0.2">
      <c r="A15" s="312" t="s">
        <v>49</v>
      </c>
      <c r="B15" s="313" t="s">
        <v>123</v>
      </c>
      <c r="C15" s="312" t="s">
        <v>15</v>
      </c>
      <c r="D15" s="314">
        <v>5900</v>
      </c>
      <c r="E15" s="313" t="s">
        <v>974</v>
      </c>
      <c r="F15" s="315" t="str">
        <f>IF(IF(A15="","",COUNTIF(CONSOLIDADO!$A:$A,$A15))=0,"REVISAR","OK")</f>
        <v>OK</v>
      </c>
    </row>
    <row r="16" spans="1:29" ht="11.45" customHeight="1" x14ac:dyDescent="0.2">
      <c r="A16" s="312" t="s">
        <v>49</v>
      </c>
      <c r="B16" s="313" t="s">
        <v>123</v>
      </c>
      <c r="C16" s="312" t="s">
        <v>15</v>
      </c>
      <c r="D16" s="314">
        <v>5999</v>
      </c>
      <c r="E16" s="313" t="s">
        <v>937</v>
      </c>
      <c r="F16" s="315" t="str">
        <f>IF(IF(A16="","",COUNTIF(CONSOLIDADO!$A:$A,$A16))=0,"REVISAR","OK")</f>
        <v>OK</v>
      </c>
    </row>
    <row r="17" spans="1:6" ht="11.45" customHeight="1" x14ac:dyDescent="0.2">
      <c r="A17" s="312" t="s">
        <v>49</v>
      </c>
      <c r="B17" s="313" t="s">
        <v>123</v>
      </c>
      <c r="C17" s="312" t="s">
        <v>15</v>
      </c>
      <c r="D17" s="314">
        <v>6000</v>
      </c>
      <c r="E17" s="313" t="s">
        <v>943</v>
      </c>
      <c r="F17" s="315" t="str">
        <f>IF(IF(A17="","",COUNTIF(CONSOLIDADO!$A:$A,$A17))=0,"REVISAR","OK")</f>
        <v>OK</v>
      </c>
    </row>
    <row r="18" spans="1:6" ht="11.45" customHeight="1" x14ac:dyDescent="0.2">
      <c r="A18" s="312" t="s">
        <v>49</v>
      </c>
      <c r="B18" s="313" t="s">
        <v>123</v>
      </c>
      <c r="C18" s="312" t="s">
        <v>15</v>
      </c>
      <c r="D18" s="314">
        <v>6237</v>
      </c>
      <c r="E18" s="313" t="s">
        <v>951</v>
      </c>
      <c r="F18" s="315" t="str">
        <f>IF(IF(A18="","",COUNTIF(CONSOLIDADO!$A:$A,$A18))=0,"REVISAR","OK")</f>
        <v>OK</v>
      </c>
    </row>
    <row r="19" spans="1:6" ht="11.45" customHeight="1" x14ac:dyDescent="0.2">
      <c r="A19" s="312" t="s">
        <v>49</v>
      </c>
      <c r="B19" s="313" t="s">
        <v>123</v>
      </c>
      <c r="C19" s="312" t="s">
        <v>15</v>
      </c>
      <c r="D19" s="314">
        <v>7500</v>
      </c>
      <c r="E19" s="313" t="s">
        <v>974</v>
      </c>
      <c r="F19" s="315" t="str">
        <f>IF(IF(A19="","",COUNTIF(CONSOLIDADO!$A:$A,$A19))=0,"REVISAR","OK")</f>
        <v>OK</v>
      </c>
    </row>
    <row r="20" spans="1:6" ht="11.45" customHeight="1" x14ac:dyDescent="0.2">
      <c r="A20" s="312" t="s">
        <v>49</v>
      </c>
      <c r="B20" s="313" t="s">
        <v>123</v>
      </c>
      <c r="C20" s="312" t="s">
        <v>15</v>
      </c>
      <c r="D20" s="314">
        <v>8500</v>
      </c>
      <c r="E20" s="313" t="s">
        <v>936</v>
      </c>
      <c r="F20" s="315" t="str">
        <f>IF(IF(A20="","",COUNTIF(CONSOLIDADO!$A:$A,$A20))=0,"REVISAR","OK")</f>
        <v>OK</v>
      </c>
    </row>
    <row r="21" spans="1:6" ht="11.45" customHeight="1" x14ac:dyDescent="0.2">
      <c r="A21" s="312" t="s">
        <v>49</v>
      </c>
      <c r="B21" s="313" t="s">
        <v>123</v>
      </c>
      <c r="C21" s="312" t="s">
        <v>15</v>
      </c>
      <c r="D21" s="314">
        <v>9282</v>
      </c>
      <c r="E21" s="313" t="s">
        <v>935</v>
      </c>
      <c r="F21" s="315" t="str">
        <f>IF(IF(A21="","",COUNTIF(CONSOLIDADO!$A:$A,$A21))=0,"REVISAR","OK")</f>
        <v>OK</v>
      </c>
    </row>
    <row r="22" spans="1:6" ht="11.45" customHeight="1" x14ac:dyDescent="0.2">
      <c r="A22" s="312" t="s">
        <v>49</v>
      </c>
      <c r="B22" s="313" t="s">
        <v>123</v>
      </c>
      <c r="C22" s="312" t="s">
        <v>15</v>
      </c>
      <c r="D22" s="314">
        <v>10767</v>
      </c>
      <c r="E22" s="313" t="s">
        <v>935</v>
      </c>
      <c r="F22" s="315" t="str">
        <f>IF(IF(A22="","",COUNTIF(CONSOLIDADO!$A:$A,$A22))=0,"REVISAR","OK")</f>
        <v>OK</v>
      </c>
    </row>
    <row r="23" spans="1:6" ht="11.45" customHeight="1" x14ac:dyDescent="0.2">
      <c r="A23" s="312" t="s">
        <v>50</v>
      </c>
      <c r="B23" s="313" t="s">
        <v>124</v>
      </c>
      <c r="C23" s="312" t="s">
        <v>202</v>
      </c>
      <c r="D23" s="314">
        <v>297</v>
      </c>
      <c r="E23" s="313" t="s">
        <v>939</v>
      </c>
      <c r="F23" s="315" t="str">
        <f>IF(IF(A23="","",COUNTIF(CONSOLIDADO!$A:$A,$A23))=0,"REVISAR","OK")</f>
        <v>OK</v>
      </c>
    </row>
    <row r="24" spans="1:6" ht="11.45" customHeight="1" x14ac:dyDescent="0.2">
      <c r="A24" s="312" t="s">
        <v>50</v>
      </c>
      <c r="B24" s="313" t="s">
        <v>124</v>
      </c>
      <c r="C24" s="312" t="s">
        <v>202</v>
      </c>
      <c r="D24" s="314">
        <v>357</v>
      </c>
      <c r="E24" s="313" t="s">
        <v>2258</v>
      </c>
      <c r="F24" s="315" t="str">
        <f>IF(IF(A24="","",COUNTIF(CONSOLIDADO!$A:$A,$A24))=0,"REVISAR","OK")</f>
        <v>OK</v>
      </c>
    </row>
    <row r="25" spans="1:6" ht="11.45" customHeight="1" x14ac:dyDescent="0.2">
      <c r="A25" s="312" t="s">
        <v>50</v>
      </c>
      <c r="B25" s="313" t="s">
        <v>124</v>
      </c>
      <c r="C25" s="312" t="s">
        <v>202</v>
      </c>
      <c r="D25" s="314">
        <v>410</v>
      </c>
      <c r="E25" s="313" t="s">
        <v>945</v>
      </c>
      <c r="F25" s="315" t="str">
        <f>IF(IF(A25="","",COUNTIF(CONSOLIDADO!$A:$A,$A25))=0,"REVISAR","OK")</f>
        <v>OK</v>
      </c>
    </row>
    <row r="26" spans="1:6" ht="11.45" customHeight="1" x14ac:dyDescent="0.2">
      <c r="A26" s="312" t="s">
        <v>50</v>
      </c>
      <c r="B26" s="313" t="s">
        <v>124</v>
      </c>
      <c r="C26" s="312" t="s">
        <v>202</v>
      </c>
      <c r="D26" s="314">
        <v>416</v>
      </c>
      <c r="E26" s="313" t="s">
        <v>2233</v>
      </c>
      <c r="F26" s="315" t="str">
        <f>IF(IF(A26="","",COUNTIF(CONSOLIDADO!$A:$A,$A26))=0,"REVISAR","OK")</f>
        <v>OK</v>
      </c>
    </row>
    <row r="27" spans="1:6" ht="11.45" customHeight="1" x14ac:dyDescent="0.2">
      <c r="A27" s="312" t="s">
        <v>50</v>
      </c>
      <c r="B27" s="313" t="s">
        <v>124</v>
      </c>
      <c r="C27" s="312" t="s">
        <v>202</v>
      </c>
      <c r="D27" s="314">
        <v>476</v>
      </c>
      <c r="E27" s="313" t="s">
        <v>982</v>
      </c>
      <c r="F27" s="315" t="str">
        <f>IF(IF(A27="","",COUNTIF(CONSOLIDADO!$A:$A,$A27))=0,"REVISAR","OK")</f>
        <v>OK</v>
      </c>
    </row>
    <row r="28" spans="1:6" ht="11.45" customHeight="1" x14ac:dyDescent="0.2">
      <c r="A28" s="312" t="s">
        <v>50</v>
      </c>
      <c r="B28" s="313" t="s">
        <v>124</v>
      </c>
      <c r="C28" s="312" t="s">
        <v>202</v>
      </c>
      <c r="D28" s="314">
        <v>476</v>
      </c>
      <c r="E28" s="313" t="s">
        <v>2258</v>
      </c>
      <c r="F28" s="315" t="str">
        <f>IF(IF(A28="","",COUNTIF(CONSOLIDADO!$A:$A,$A28))=0,"REVISAR","OK")</f>
        <v>OK</v>
      </c>
    </row>
    <row r="29" spans="1:6" ht="11.45" customHeight="1" x14ac:dyDescent="0.2">
      <c r="A29" s="312" t="s">
        <v>50</v>
      </c>
      <c r="B29" s="313" t="s">
        <v>124</v>
      </c>
      <c r="C29" s="312" t="s">
        <v>202</v>
      </c>
      <c r="D29" s="314">
        <v>563</v>
      </c>
      <c r="E29" s="313" t="s">
        <v>935</v>
      </c>
      <c r="F29" s="315" t="str">
        <f>IF(IF(A29="","",COUNTIF(CONSOLIDADO!$A:$A,$A29))=0,"REVISAR","OK")</f>
        <v>OK</v>
      </c>
    </row>
    <row r="30" spans="1:6" ht="11.45" customHeight="1" x14ac:dyDescent="0.2">
      <c r="A30" s="312" t="s">
        <v>50</v>
      </c>
      <c r="B30" s="313" t="s">
        <v>124</v>
      </c>
      <c r="C30" s="312" t="s">
        <v>202</v>
      </c>
      <c r="D30" s="314">
        <v>595</v>
      </c>
      <c r="E30" s="313" t="s">
        <v>939</v>
      </c>
      <c r="F30" s="315" t="str">
        <f>IF(IF(A30="","",COUNTIF(CONSOLIDADO!$A:$A,$A30))=0,"REVISAR","OK")</f>
        <v>OK</v>
      </c>
    </row>
    <row r="31" spans="1:6" ht="11.45" customHeight="1" x14ac:dyDescent="0.2">
      <c r="A31" s="312" t="s">
        <v>50</v>
      </c>
      <c r="B31" s="313" t="s">
        <v>124</v>
      </c>
      <c r="C31" s="312" t="s">
        <v>202</v>
      </c>
      <c r="D31" s="314">
        <v>600</v>
      </c>
      <c r="E31" s="313" t="s">
        <v>938</v>
      </c>
      <c r="F31" s="315" t="str">
        <f>IF(IF(A31="","",COUNTIF(CONSOLIDADO!$A:$A,$A31))=0,"REVISAR","OK")</f>
        <v>OK</v>
      </c>
    </row>
    <row r="32" spans="1:6" ht="11.45" customHeight="1" x14ac:dyDescent="0.2">
      <c r="A32" s="312" t="s">
        <v>50</v>
      </c>
      <c r="B32" s="313" t="s">
        <v>124</v>
      </c>
      <c r="C32" s="312" t="s">
        <v>202</v>
      </c>
      <c r="D32" s="314">
        <v>750</v>
      </c>
      <c r="E32" s="313" t="s">
        <v>2210</v>
      </c>
      <c r="F32" s="315" t="str">
        <f>IF(IF(A32="","",COUNTIF(CONSOLIDADO!$A:$A,$A32))=0,"REVISAR","OK")</f>
        <v>OK</v>
      </c>
    </row>
    <row r="33" spans="1:6" ht="11.45" customHeight="1" x14ac:dyDescent="0.2">
      <c r="A33" s="312" t="s">
        <v>50</v>
      </c>
      <c r="B33" s="313" t="s">
        <v>124</v>
      </c>
      <c r="C33" s="312" t="s">
        <v>202</v>
      </c>
      <c r="D33" s="314">
        <v>779</v>
      </c>
      <c r="E33" s="313" t="s">
        <v>2070</v>
      </c>
      <c r="F33" s="315" t="str">
        <f>IF(IF(A33="","",COUNTIF(CONSOLIDADO!$A:$A,$A33))=0,"REVISAR","OK")</f>
        <v>OK</v>
      </c>
    </row>
    <row r="34" spans="1:6" ht="11.45" customHeight="1" x14ac:dyDescent="0.2">
      <c r="A34" s="312" t="s">
        <v>50</v>
      </c>
      <c r="B34" s="313" t="s">
        <v>124</v>
      </c>
      <c r="C34" s="312" t="s">
        <v>202</v>
      </c>
      <c r="D34" s="314">
        <v>779</v>
      </c>
      <c r="E34" s="313" t="s">
        <v>950</v>
      </c>
      <c r="F34" s="315" t="str">
        <f>IF(IF(A34="","",COUNTIF(CONSOLIDADO!$A:$A,$A34))=0,"REVISAR","OK")</f>
        <v>OK</v>
      </c>
    </row>
    <row r="35" spans="1:6" ht="11.45" customHeight="1" x14ac:dyDescent="0.2">
      <c r="A35" s="312" t="s">
        <v>50</v>
      </c>
      <c r="B35" s="313" t="s">
        <v>124</v>
      </c>
      <c r="C35" s="312" t="s">
        <v>202</v>
      </c>
      <c r="D35" s="314">
        <v>900</v>
      </c>
      <c r="E35" s="313" t="s">
        <v>974</v>
      </c>
      <c r="F35" s="315" t="str">
        <f>IF(IF(A35="","",COUNTIF(CONSOLIDADO!$A:$A,$A35))=0,"REVISAR","OK")</f>
        <v>OK</v>
      </c>
    </row>
    <row r="36" spans="1:6" ht="11.45" customHeight="1" x14ac:dyDescent="0.2">
      <c r="A36" s="312" t="s">
        <v>50</v>
      </c>
      <c r="B36" s="313" t="s">
        <v>124</v>
      </c>
      <c r="C36" s="312" t="s">
        <v>202</v>
      </c>
      <c r="D36" s="314">
        <v>1000</v>
      </c>
      <c r="E36" s="313" t="s">
        <v>938</v>
      </c>
      <c r="F36" s="315" t="str">
        <f>IF(IF(A36="","",COUNTIF(CONSOLIDADO!$A:$A,$A36))=0,"REVISAR","OK")</f>
        <v>OK</v>
      </c>
    </row>
    <row r="37" spans="1:6" ht="11.45" customHeight="1" x14ac:dyDescent="0.2">
      <c r="A37" s="312" t="s">
        <v>50</v>
      </c>
      <c r="B37" s="313" t="s">
        <v>124</v>
      </c>
      <c r="C37" s="312" t="s">
        <v>202</v>
      </c>
      <c r="D37" s="314">
        <v>1000</v>
      </c>
      <c r="E37" s="313" t="s">
        <v>2210</v>
      </c>
      <c r="F37" s="315" t="str">
        <f>IF(IF(A37="","",COUNTIF(CONSOLIDADO!$A:$A,$A37))=0,"REVISAR","OK")</f>
        <v>OK</v>
      </c>
    </row>
    <row r="38" spans="1:6" ht="11.45" customHeight="1" x14ac:dyDescent="0.2">
      <c r="A38" s="312" t="s">
        <v>50</v>
      </c>
      <c r="B38" s="313" t="s">
        <v>124</v>
      </c>
      <c r="C38" s="312" t="s">
        <v>202</v>
      </c>
      <c r="D38" s="314">
        <v>1088</v>
      </c>
      <c r="E38" s="313" t="s">
        <v>946</v>
      </c>
      <c r="F38" s="315" t="str">
        <f>IF(IF(A38="","",COUNTIF(CONSOLIDADO!$A:$A,$A38))=0,"REVISAR","OK")</f>
        <v>OK</v>
      </c>
    </row>
    <row r="39" spans="1:6" ht="11.45" customHeight="1" x14ac:dyDescent="0.2">
      <c r="A39" s="312" t="s">
        <v>50</v>
      </c>
      <c r="B39" s="313" t="s">
        <v>124</v>
      </c>
      <c r="C39" s="312" t="s">
        <v>202</v>
      </c>
      <c r="D39" s="314">
        <v>1089</v>
      </c>
      <c r="E39" s="313" t="s">
        <v>933</v>
      </c>
      <c r="F39" s="315" t="str">
        <f>IF(IF(A39="","",COUNTIF(CONSOLIDADO!$A:$A,$A39))=0,"REVISAR","OK")</f>
        <v>OK</v>
      </c>
    </row>
    <row r="40" spans="1:6" ht="11.45" customHeight="1" x14ac:dyDescent="0.2">
      <c r="A40" s="312" t="s">
        <v>50</v>
      </c>
      <c r="B40" s="313" t="s">
        <v>124</v>
      </c>
      <c r="C40" s="312" t="s">
        <v>202</v>
      </c>
      <c r="D40" s="314">
        <v>1089</v>
      </c>
      <c r="E40" s="313" t="s">
        <v>929</v>
      </c>
      <c r="F40" s="315" t="str">
        <f>IF(IF(A40="","",COUNTIF(CONSOLIDADO!$A:$A,$A40))=0,"REVISAR","OK")</f>
        <v>OK</v>
      </c>
    </row>
    <row r="41" spans="1:6" ht="11.45" customHeight="1" x14ac:dyDescent="0.2">
      <c r="A41" s="312" t="s">
        <v>50</v>
      </c>
      <c r="B41" s="313" t="s">
        <v>124</v>
      </c>
      <c r="C41" s="312" t="s">
        <v>202</v>
      </c>
      <c r="D41" s="314">
        <v>1192</v>
      </c>
      <c r="E41" s="313" t="s">
        <v>932</v>
      </c>
      <c r="F41" s="315" t="str">
        <f>IF(IF(A41="","",COUNTIF(CONSOLIDADO!$A:$A,$A41))=0,"REVISAR","OK")</f>
        <v>OK</v>
      </c>
    </row>
    <row r="42" spans="1:6" ht="11.45" customHeight="1" x14ac:dyDescent="0.2">
      <c r="A42" s="312" t="s">
        <v>50</v>
      </c>
      <c r="B42" s="313" t="s">
        <v>124</v>
      </c>
      <c r="C42" s="312" t="s">
        <v>202</v>
      </c>
      <c r="D42" s="314">
        <v>1193</v>
      </c>
      <c r="E42" s="313" t="s">
        <v>943</v>
      </c>
      <c r="F42" s="315" t="str">
        <f>IF(IF(A42="","",COUNTIF(CONSOLIDADO!$A:$A,$A42))=0,"REVISAR","OK")</f>
        <v>OK</v>
      </c>
    </row>
    <row r="43" spans="1:6" ht="11.45" customHeight="1" x14ac:dyDescent="0.2">
      <c r="A43" s="312" t="s">
        <v>50</v>
      </c>
      <c r="B43" s="313" t="s">
        <v>124</v>
      </c>
      <c r="C43" s="312" t="s">
        <v>202</v>
      </c>
      <c r="D43" s="314">
        <v>1195</v>
      </c>
      <c r="E43" s="313" t="s">
        <v>935</v>
      </c>
      <c r="F43" s="315" t="str">
        <f>IF(IF(A43="","",COUNTIF(CONSOLIDADO!$A:$A,$A43))=0,"REVISAR","OK")</f>
        <v>OK</v>
      </c>
    </row>
    <row r="44" spans="1:6" ht="11.45" customHeight="1" x14ac:dyDescent="0.2">
      <c r="A44" s="312" t="s">
        <v>50</v>
      </c>
      <c r="B44" s="313" t="s">
        <v>124</v>
      </c>
      <c r="C44" s="312" t="s">
        <v>202</v>
      </c>
      <c r="D44" s="314">
        <v>1196</v>
      </c>
      <c r="E44" s="313" t="s">
        <v>935</v>
      </c>
      <c r="F44" s="315" t="str">
        <f>IF(IF(A44="","",COUNTIF(CONSOLIDADO!$A:$A,$A44))=0,"REVISAR","OK")</f>
        <v>OK</v>
      </c>
    </row>
    <row r="45" spans="1:6" ht="11.45" customHeight="1" x14ac:dyDescent="0.2">
      <c r="A45" s="312" t="s">
        <v>50</v>
      </c>
      <c r="B45" s="313" t="s">
        <v>124</v>
      </c>
      <c r="C45" s="312" t="s">
        <v>202</v>
      </c>
      <c r="D45" s="314">
        <v>1196</v>
      </c>
      <c r="E45" s="313" t="s">
        <v>2146</v>
      </c>
      <c r="F45" s="315" t="str">
        <f>IF(IF(A45="","",COUNTIF(CONSOLIDADO!$A:$A,$A45))=0,"REVISAR","OK")</f>
        <v>OK</v>
      </c>
    </row>
    <row r="46" spans="1:6" ht="11.45" customHeight="1" x14ac:dyDescent="0.2">
      <c r="A46" s="312" t="s">
        <v>50</v>
      </c>
      <c r="B46" s="313" t="s">
        <v>124</v>
      </c>
      <c r="C46" s="312" t="s">
        <v>202</v>
      </c>
      <c r="D46" s="314">
        <v>1196</v>
      </c>
      <c r="E46" s="313" t="s">
        <v>2005</v>
      </c>
      <c r="F46" s="315" t="str">
        <f>IF(IF(A46="","",COUNTIF(CONSOLIDADO!$A:$A,$A46))=0,"REVISAR","OK")</f>
        <v>OK</v>
      </c>
    </row>
    <row r="47" spans="1:6" ht="11.45" customHeight="1" x14ac:dyDescent="0.2">
      <c r="A47" s="312" t="s">
        <v>50</v>
      </c>
      <c r="B47" s="313" t="s">
        <v>124</v>
      </c>
      <c r="C47" s="312" t="s">
        <v>202</v>
      </c>
      <c r="D47" s="314">
        <v>1199</v>
      </c>
      <c r="E47" s="313" t="s">
        <v>944</v>
      </c>
      <c r="F47" s="315" t="str">
        <f>IF(IF(A47="","",COUNTIF(CONSOLIDADO!$A:$A,$A47))=0,"REVISAR","OK")</f>
        <v>OK</v>
      </c>
    </row>
    <row r="48" spans="1:6" ht="11.45" customHeight="1" x14ac:dyDescent="0.2">
      <c r="A48" s="312" t="s">
        <v>50</v>
      </c>
      <c r="B48" s="313" t="s">
        <v>124</v>
      </c>
      <c r="C48" s="312" t="s">
        <v>202</v>
      </c>
      <c r="D48" s="314">
        <v>1500</v>
      </c>
      <c r="E48" s="313" t="s">
        <v>2274</v>
      </c>
      <c r="F48" s="315" t="str">
        <f>IF(IF(A48="","",COUNTIF(CONSOLIDADO!$A:$A,$A48))=0,"REVISAR","OK")</f>
        <v>OK</v>
      </c>
    </row>
    <row r="49" spans="1:6" ht="11.45" customHeight="1" x14ac:dyDescent="0.2">
      <c r="A49" s="312" t="s">
        <v>50</v>
      </c>
      <c r="B49" s="313" t="s">
        <v>124</v>
      </c>
      <c r="C49" s="312" t="s">
        <v>202</v>
      </c>
      <c r="D49" s="314">
        <v>2998</v>
      </c>
      <c r="E49" s="313" t="s">
        <v>930</v>
      </c>
      <c r="F49" s="315" t="str">
        <f>IF(IF(A49="","",COUNTIF(CONSOLIDADO!$A:$A,$A49))=0,"REVISAR","OK")</f>
        <v>OK</v>
      </c>
    </row>
    <row r="50" spans="1:6" ht="11.45" customHeight="1" x14ac:dyDescent="0.2">
      <c r="A50" s="312" t="s">
        <v>659</v>
      </c>
      <c r="B50" s="313" t="s">
        <v>658</v>
      </c>
      <c r="C50" s="312" t="s">
        <v>947</v>
      </c>
      <c r="D50" s="314">
        <v>288</v>
      </c>
      <c r="E50" s="313" t="s">
        <v>932</v>
      </c>
      <c r="F50" s="315" t="str">
        <f>IF(IF(A50="","",COUNTIF(CONSOLIDADO!$A:$A,$A50))=0,"REVISAR","OK")</f>
        <v>OK</v>
      </c>
    </row>
    <row r="51" spans="1:6" ht="11.45" customHeight="1" x14ac:dyDescent="0.2">
      <c r="A51" s="312" t="s">
        <v>659</v>
      </c>
      <c r="B51" s="313" t="s">
        <v>658</v>
      </c>
      <c r="C51" s="312" t="s">
        <v>947</v>
      </c>
      <c r="D51" s="314">
        <v>289</v>
      </c>
      <c r="E51" s="313" t="s">
        <v>951</v>
      </c>
      <c r="F51" s="315" t="str">
        <f>IF(IF(A51="","",COUNTIF(CONSOLIDADO!$A:$A,$A51))=0,"REVISAR","OK")</f>
        <v>OK</v>
      </c>
    </row>
    <row r="52" spans="1:6" ht="11.45" customHeight="1" x14ac:dyDescent="0.2">
      <c r="A52" s="312" t="s">
        <v>659</v>
      </c>
      <c r="B52" s="313" t="s">
        <v>658</v>
      </c>
      <c r="C52" s="312" t="s">
        <v>947</v>
      </c>
      <c r="D52" s="314">
        <v>357</v>
      </c>
      <c r="E52" s="313" t="s">
        <v>939</v>
      </c>
      <c r="F52" s="315" t="str">
        <f>IF(IF(A52="","",COUNTIF(CONSOLIDADO!$A:$A,$A52))=0,"REVISAR","OK")</f>
        <v>OK</v>
      </c>
    </row>
    <row r="53" spans="1:6" ht="11.45" customHeight="1" x14ac:dyDescent="0.2">
      <c r="A53" s="312" t="s">
        <v>659</v>
      </c>
      <c r="B53" s="313" t="s">
        <v>658</v>
      </c>
      <c r="C53" s="312" t="s">
        <v>947</v>
      </c>
      <c r="D53" s="314">
        <v>357</v>
      </c>
      <c r="E53" s="313" t="s">
        <v>982</v>
      </c>
      <c r="F53" s="315" t="str">
        <f>IF(IF(A53="","",COUNTIF(CONSOLIDADO!$A:$A,$A53))=0,"REVISAR","OK")</f>
        <v>OK</v>
      </c>
    </row>
    <row r="54" spans="1:6" ht="11.45" customHeight="1" x14ac:dyDescent="0.2">
      <c r="A54" s="312" t="s">
        <v>659</v>
      </c>
      <c r="B54" s="313" t="s">
        <v>658</v>
      </c>
      <c r="C54" s="312" t="s">
        <v>947</v>
      </c>
      <c r="D54" s="314">
        <v>380</v>
      </c>
      <c r="E54" s="313" t="s">
        <v>929</v>
      </c>
      <c r="F54" s="315" t="str">
        <f>IF(IF(A54="","",COUNTIF(CONSOLIDADO!$A:$A,$A54))=0,"REVISAR","OK")</f>
        <v>OK</v>
      </c>
    </row>
    <row r="55" spans="1:6" ht="11.45" customHeight="1" x14ac:dyDescent="0.2">
      <c r="A55" s="312" t="s">
        <v>659</v>
      </c>
      <c r="B55" s="313" t="s">
        <v>658</v>
      </c>
      <c r="C55" s="312" t="s">
        <v>947</v>
      </c>
      <c r="D55" s="314">
        <v>440</v>
      </c>
      <c r="E55" s="313" t="s">
        <v>946</v>
      </c>
      <c r="F55" s="315" t="str">
        <f>IF(IF(A55="","",COUNTIF(CONSOLIDADO!$A:$A,$A55))=0,"REVISAR","OK")</f>
        <v>OK</v>
      </c>
    </row>
    <row r="56" spans="1:6" ht="11.45" customHeight="1" x14ac:dyDescent="0.2">
      <c r="A56" s="312" t="s">
        <v>659</v>
      </c>
      <c r="B56" s="313" t="s">
        <v>658</v>
      </c>
      <c r="C56" s="312" t="s">
        <v>947</v>
      </c>
      <c r="D56" s="314">
        <v>442</v>
      </c>
      <c r="E56" s="313" t="s">
        <v>930</v>
      </c>
      <c r="F56" s="315" t="str">
        <f>IF(IF(A56="","",COUNTIF(CONSOLIDADO!$A:$A,$A56))=0,"REVISAR","OK")</f>
        <v>OK</v>
      </c>
    </row>
    <row r="57" spans="1:6" ht="11.45" customHeight="1" x14ac:dyDescent="0.2">
      <c r="A57" s="312" t="s">
        <v>659</v>
      </c>
      <c r="B57" s="313" t="s">
        <v>658</v>
      </c>
      <c r="C57" s="312" t="s">
        <v>947</v>
      </c>
      <c r="D57" s="314">
        <v>517</v>
      </c>
      <c r="E57" s="313" t="s">
        <v>948</v>
      </c>
      <c r="F57" s="315" t="str">
        <f>IF(IF(A57="","",COUNTIF(CONSOLIDADO!$A:$A,$A57))=0,"REVISAR","OK")</f>
        <v>OK</v>
      </c>
    </row>
    <row r="58" spans="1:6" ht="11.45" customHeight="1" x14ac:dyDescent="0.2">
      <c r="A58" s="312" t="s">
        <v>659</v>
      </c>
      <c r="B58" s="313" t="s">
        <v>658</v>
      </c>
      <c r="C58" s="312" t="s">
        <v>947</v>
      </c>
      <c r="D58" s="314">
        <v>529</v>
      </c>
      <c r="E58" s="313" t="s">
        <v>2005</v>
      </c>
      <c r="F58" s="315" t="str">
        <f>IF(IF(A58="","",COUNTIF(CONSOLIDADO!$A:$A,$A58))=0,"REVISAR","OK")</f>
        <v>OK</v>
      </c>
    </row>
    <row r="59" spans="1:6" ht="11.45" customHeight="1" x14ac:dyDescent="0.2">
      <c r="A59" s="312" t="s">
        <v>659</v>
      </c>
      <c r="B59" s="313" t="s">
        <v>658</v>
      </c>
      <c r="C59" s="312" t="s">
        <v>947</v>
      </c>
      <c r="D59" s="314">
        <v>595</v>
      </c>
      <c r="E59" s="313" t="s">
        <v>946</v>
      </c>
      <c r="F59" s="315" t="str">
        <f>IF(IF(A59="","",COUNTIF(CONSOLIDADO!$A:$A,$A59))=0,"REVISAR","OK")</f>
        <v>OK</v>
      </c>
    </row>
    <row r="60" spans="1:6" ht="11.45" customHeight="1" x14ac:dyDescent="0.2">
      <c r="A60" s="312" t="s">
        <v>659</v>
      </c>
      <c r="B60" s="313" t="s">
        <v>658</v>
      </c>
      <c r="C60" s="312" t="s">
        <v>947</v>
      </c>
      <c r="D60" s="314">
        <v>1190</v>
      </c>
      <c r="E60" s="313" t="s">
        <v>936</v>
      </c>
      <c r="F60" s="315" t="str">
        <f>IF(IF(A60="","",COUNTIF(CONSOLIDADO!$A:$A,$A60))=0,"REVISAR","OK")</f>
        <v>OK</v>
      </c>
    </row>
    <row r="61" spans="1:6" ht="11.45" customHeight="1" x14ac:dyDescent="0.2">
      <c r="A61" s="312" t="s">
        <v>52</v>
      </c>
      <c r="B61" s="313" t="s">
        <v>51</v>
      </c>
      <c r="C61" s="312" t="s">
        <v>15</v>
      </c>
      <c r="D61" s="314">
        <v>3570</v>
      </c>
      <c r="E61" s="313" t="s">
        <v>976</v>
      </c>
      <c r="F61" s="315" t="str">
        <f>IF(IF(A61="","",COUNTIF(CONSOLIDADO!$A:$A,$A61))=0,"REVISAR","OK")</f>
        <v>OK</v>
      </c>
    </row>
    <row r="62" spans="1:6" ht="11.45" customHeight="1" x14ac:dyDescent="0.2">
      <c r="A62" s="312" t="s">
        <v>52</v>
      </c>
      <c r="B62" s="313" t="s">
        <v>51</v>
      </c>
      <c r="C62" s="312" t="s">
        <v>15</v>
      </c>
      <c r="D62" s="314">
        <v>4165</v>
      </c>
      <c r="E62" s="313" t="s">
        <v>982</v>
      </c>
      <c r="F62" s="315" t="str">
        <f>IF(IF(A62="","",COUNTIF(CONSOLIDADO!$A:$A,$A62))=0,"REVISAR","OK")</f>
        <v>OK</v>
      </c>
    </row>
    <row r="63" spans="1:6" ht="11.45" customHeight="1" x14ac:dyDescent="0.2">
      <c r="A63" s="312" t="s">
        <v>52</v>
      </c>
      <c r="B63" s="313" t="s">
        <v>51</v>
      </c>
      <c r="C63" s="312" t="s">
        <v>15</v>
      </c>
      <c r="D63" s="314">
        <v>5000</v>
      </c>
      <c r="E63" s="313" t="s">
        <v>943</v>
      </c>
      <c r="F63" s="315" t="str">
        <f>IF(IF(A63="","",COUNTIF(CONSOLIDADO!$A:$A,$A63))=0,"REVISAR","OK")</f>
        <v>OK</v>
      </c>
    </row>
    <row r="64" spans="1:6" ht="11.45" customHeight="1" x14ac:dyDescent="0.2">
      <c r="A64" s="312" t="s">
        <v>52</v>
      </c>
      <c r="B64" s="313" t="s">
        <v>51</v>
      </c>
      <c r="C64" s="312" t="s">
        <v>15</v>
      </c>
      <c r="D64" s="314">
        <v>5482</v>
      </c>
      <c r="E64" s="313" t="s">
        <v>934</v>
      </c>
      <c r="F64" s="315" t="str">
        <f>IF(IF(A64="","",COUNTIF(CONSOLIDADO!$A:$A,$A64))=0,"REVISAR","OK")</f>
        <v>OK</v>
      </c>
    </row>
    <row r="65" spans="1:6" ht="11.45" customHeight="1" x14ac:dyDescent="0.2">
      <c r="A65" s="312" t="s">
        <v>52</v>
      </c>
      <c r="B65" s="313" t="s">
        <v>51</v>
      </c>
      <c r="C65" s="312" t="s">
        <v>15</v>
      </c>
      <c r="D65" s="314">
        <v>5720</v>
      </c>
      <c r="E65" s="313" t="s">
        <v>944</v>
      </c>
      <c r="F65" s="315" t="str">
        <f>IF(IF(A65="","",COUNTIF(CONSOLIDADO!$A:$A,$A65))=0,"REVISAR","OK")</f>
        <v>OK</v>
      </c>
    </row>
    <row r="66" spans="1:6" ht="11.45" customHeight="1" x14ac:dyDescent="0.2">
      <c r="A66" s="312" t="s">
        <v>52</v>
      </c>
      <c r="B66" s="313" t="s">
        <v>51</v>
      </c>
      <c r="C66" s="312" t="s">
        <v>15</v>
      </c>
      <c r="D66" s="314">
        <v>7140</v>
      </c>
      <c r="E66" s="313" t="s">
        <v>949</v>
      </c>
      <c r="F66" s="315" t="str">
        <f>IF(IF(A66="","",COUNTIF(CONSOLIDADO!$A:$A,$A66))=0,"REVISAR","OK")</f>
        <v>OK</v>
      </c>
    </row>
    <row r="67" spans="1:6" ht="11.45" customHeight="1" x14ac:dyDescent="0.2">
      <c r="A67" s="312" t="s">
        <v>86</v>
      </c>
      <c r="B67" s="313" t="s">
        <v>28</v>
      </c>
      <c r="C67" s="312" t="s">
        <v>15</v>
      </c>
      <c r="D67" s="314">
        <v>1944</v>
      </c>
      <c r="E67" s="313" t="s">
        <v>949</v>
      </c>
      <c r="F67" s="315" t="str">
        <f>IF(IF(A67="","",COUNTIF(CONSOLIDADO!$A:$A,$A67))=0,"REVISAR","OK")</f>
        <v>OK</v>
      </c>
    </row>
    <row r="68" spans="1:6" ht="11.45" customHeight="1" x14ac:dyDescent="0.2">
      <c r="A68" s="312" t="s">
        <v>86</v>
      </c>
      <c r="B68" s="313" t="s">
        <v>28</v>
      </c>
      <c r="C68" s="312" t="s">
        <v>15</v>
      </c>
      <c r="D68" s="314">
        <v>2013</v>
      </c>
      <c r="E68" s="313" t="s">
        <v>937</v>
      </c>
      <c r="F68" s="315" t="str">
        <f>IF(IF(A68="","",COUNTIF(CONSOLIDADO!$A:$A,$A68))=0,"REVISAR","OK")</f>
        <v>OK</v>
      </c>
    </row>
    <row r="69" spans="1:6" ht="11.45" customHeight="1" x14ac:dyDescent="0.2">
      <c r="A69" s="312" t="s">
        <v>2012</v>
      </c>
      <c r="B69" s="313" t="s">
        <v>2013</v>
      </c>
      <c r="C69" s="312" t="s">
        <v>15</v>
      </c>
      <c r="D69" s="314">
        <v>9401</v>
      </c>
      <c r="E69" s="313" t="s">
        <v>982</v>
      </c>
      <c r="F69" s="315" t="str">
        <f>IF(IF(A69="","",COUNTIF(CONSOLIDADO!$A:$A,$A69))=0,"REVISAR","OK")</f>
        <v>OK</v>
      </c>
    </row>
    <row r="70" spans="1:6" ht="11.45" customHeight="1" x14ac:dyDescent="0.2">
      <c r="A70" s="312" t="s">
        <v>661</v>
      </c>
      <c r="B70" s="313" t="s">
        <v>504</v>
      </c>
      <c r="C70" s="312" t="s">
        <v>956</v>
      </c>
      <c r="D70" s="314">
        <v>189</v>
      </c>
      <c r="E70" s="313" t="s">
        <v>944</v>
      </c>
      <c r="F70" s="315" t="str">
        <f>IF(IF(A70="","",COUNTIF(CONSOLIDADO!$A:$A,$A70))=0,"REVISAR","OK")</f>
        <v>OK</v>
      </c>
    </row>
    <row r="71" spans="1:6" ht="11.45" customHeight="1" x14ac:dyDescent="0.2">
      <c r="A71" s="312" t="s">
        <v>92</v>
      </c>
      <c r="B71" s="313" t="s">
        <v>147</v>
      </c>
      <c r="C71" s="312" t="s">
        <v>111</v>
      </c>
      <c r="D71" s="314">
        <v>139</v>
      </c>
      <c r="E71" s="313" t="s">
        <v>2070</v>
      </c>
      <c r="F71" s="315" t="str">
        <f>IF(IF(A71="","",COUNTIF(CONSOLIDADO!$A:$A,$A71))=0,"REVISAR","OK")</f>
        <v>OK</v>
      </c>
    </row>
    <row r="72" spans="1:6" ht="11.45" customHeight="1" x14ac:dyDescent="0.2">
      <c r="A72" s="312" t="s">
        <v>92</v>
      </c>
      <c r="B72" s="313" t="s">
        <v>147</v>
      </c>
      <c r="C72" s="312" t="s">
        <v>111</v>
      </c>
      <c r="D72" s="314">
        <v>142</v>
      </c>
      <c r="E72" s="313" t="s">
        <v>2233</v>
      </c>
      <c r="F72" s="315" t="str">
        <f>IF(IF(A72="","",COUNTIF(CONSOLIDADO!$A:$A,$A72))=0,"REVISAR","OK")</f>
        <v>OK</v>
      </c>
    </row>
    <row r="73" spans="1:6" ht="11.45" customHeight="1" x14ac:dyDescent="0.2">
      <c r="A73" s="312" t="s">
        <v>92</v>
      </c>
      <c r="B73" s="313" t="s">
        <v>147</v>
      </c>
      <c r="C73" s="312" t="s">
        <v>111</v>
      </c>
      <c r="D73" s="314">
        <v>173</v>
      </c>
      <c r="E73" s="313" t="s">
        <v>946</v>
      </c>
      <c r="F73" s="315" t="str">
        <f>IF(IF(A73="","",COUNTIF(CONSOLIDADO!$A:$A,$A73))=0,"REVISAR","OK")</f>
        <v>OK</v>
      </c>
    </row>
    <row r="74" spans="1:6" ht="11.45" customHeight="1" x14ac:dyDescent="0.2">
      <c r="A74" s="312" t="s">
        <v>92</v>
      </c>
      <c r="B74" s="313" t="s">
        <v>147</v>
      </c>
      <c r="C74" s="312" t="s">
        <v>111</v>
      </c>
      <c r="D74" s="314">
        <v>178</v>
      </c>
      <c r="E74" s="313" t="s">
        <v>937</v>
      </c>
      <c r="F74" s="315" t="str">
        <f>IF(IF(A74="","",COUNTIF(CONSOLIDADO!$A:$A,$A74))=0,"REVISAR","OK")</f>
        <v>OK</v>
      </c>
    </row>
    <row r="75" spans="1:6" ht="11.45" customHeight="1" x14ac:dyDescent="0.2">
      <c r="A75" s="312" t="s">
        <v>92</v>
      </c>
      <c r="B75" s="313" t="s">
        <v>147</v>
      </c>
      <c r="C75" s="312" t="s">
        <v>111</v>
      </c>
      <c r="D75" s="314">
        <v>182</v>
      </c>
      <c r="E75" s="313" t="s">
        <v>935</v>
      </c>
      <c r="F75" s="315" t="str">
        <f>IF(IF(A75="","",COUNTIF(CONSOLIDADO!$A:$A,$A75))=0,"REVISAR","OK")</f>
        <v>OK</v>
      </c>
    </row>
    <row r="76" spans="1:6" ht="11.45" customHeight="1" x14ac:dyDescent="0.2">
      <c r="A76" s="312" t="s">
        <v>92</v>
      </c>
      <c r="B76" s="313" t="s">
        <v>147</v>
      </c>
      <c r="C76" s="312" t="s">
        <v>111</v>
      </c>
      <c r="D76" s="314">
        <v>189</v>
      </c>
      <c r="E76" s="313" t="s">
        <v>944</v>
      </c>
      <c r="F76" s="315" t="str">
        <f>IF(IF(A76="","",COUNTIF(CONSOLIDADO!$A:$A,$A76))=0,"REVISAR","OK")</f>
        <v>OK</v>
      </c>
    </row>
    <row r="77" spans="1:6" ht="11.45" customHeight="1" x14ac:dyDescent="0.2">
      <c r="A77" s="312" t="s">
        <v>92</v>
      </c>
      <c r="B77" s="313" t="s">
        <v>147</v>
      </c>
      <c r="C77" s="312" t="s">
        <v>111</v>
      </c>
      <c r="D77" s="314">
        <v>220</v>
      </c>
      <c r="E77" s="313" t="s">
        <v>929</v>
      </c>
      <c r="F77" s="315" t="str">
        <f>IF(IF(A77="","",COUNTIF(CONSOLIDADO!$A:$A,$A77))=0,"REVISAR","OK")</f>
        <v>OK</v>
      </c>
    </row>
    <row r="78" spans="1:6" ht="11.45" customHeight="1" x14ac:dyDescent="0.2">
      <c r="A78" s="312" t="s">
        <v>92</v>
      </c>
      <c r="B78" s="313" t="s">
        <v>147</v>
      </c>
      <c r="C78" s="312" t="s">
        <v>111</v>
      </c>
      <c r="D78" s="314">
        <v>220</v>
      </c>
      <c r="E78" s="313" t="s">
        <v>933</v>
      </c>
      <c r="F78" s="315" t="str">
        <f>IF(IF(A78="","",COUNTIF(CONSOLIDADO!$A:$A,$A78))=0,"REVISAR","OK")</f>
        <v>OK</v>
      </c>
    </row>
    <row r="79" spans="1:6" ht="11.45" customHeight="1" x14ac:dyDescent="0.2">
      <c r="A79" s="312" t="s">
        <v>92</v>
      </c>
      <c r="B79" s="313" t="s">
        <v>147</v>
      </c>
      <c r="C79" s="312" t="s">
        <v>111</v>
      </c>
      <c r="D79" s="314">
        <v>220</v>
      </c>
      <c r="E79" s="313" t="s">
        <v>932</v>
      </c>
      <c r="F79" s="315" t="str">
        <f>IF(IF(A79="","",COUNTIF(CONSOLIDADO!$A:$A,$A79))=0,"REVISAR","OK")</f>
        <v>OK</v>
      </c>
    </row>
    <row r="80" spans="1:6" ht="11.45" customHeight="1" x14ac:dyDescent="0.2">
      <c r="A80" s="312" t="s">
        <v>92</v>
      </c>
      <c r="B80" s="313" t="s">
        <v>147</v>
      </c>
      <c r="C80" s="312" t="s">
        <v>111</v>
      </c>
      <c r="D80" s="314">
        <v>231</v>
      </c>
      <c r="E80" s="313" t="s">
        <v>951</v>
      </c>
      <c r="F80" s="315" t="str">
        <f>IF(IF(A80="","",COUNTIF(CONSOLIDADO!$A:$A,$A80))=0,"REVISAR","OK")</f>
        <v>OK</v>
      </c>
    </row>
    <row r="81" spans="1:6" ht="11.45" customHeight="1" x14ac:dyDescent="0.2">
      <c r="A81" s="312" t="s">
        <v>92</v>
      </c>
      <c r="B81" s="313" t="s">
        <v>147</v>
      </c>
      <c r="C81" s="312" t="s">
        <v>111</v>
      </c>
      <c r="D81" s="314">
        <v>249</v>
      </c>
      <c r="E81" s="313" t="s">
        <v>1115</v>
      </c>
      <c r="F81" s="315" t="str">
        <f>IF(IF(A81="","",COUNTIF(CONSOLIDADO!$A:$A,$A81))=0,"REVISAR","OK")</f>
        <v>OK</v>
      </c>
    </row>
    <row r="82" spans="1:6" ht="11.45" customHeight="1" x14ac:dyDescent="0.2">
      <c r="A82" s="312" t="s">
        <v>92</v>
      </c>
      <c r="B82" s="313" t="s">
        <v>147</v>
      </c>
      <c r="C82" s="312" t="s">
        <v>111</v>
      </c>
      <c r="D82" s="314">
        <v>249</v>
      </c>
      <c r="E82" s="313" t="s">
        <v>2238</v>
      </c>
      <c r="F82" s="315" t="str">
        <f>IF(IF(A82="","",COUNTIF(CONSOLIDADO!$A:$A,$A82))=0,"REVISAR","OK")</f>
        <v>OK</v>
      </c>
    </row>
    <row r="83" spans="1:6" ht="11.45" customHeight="1" x14ac:dyDescent="0.2">
      <c r="A83" s="312" t="s">
        <v>92</v>
      </c>
      <c r="B83" s="313" t="s">
        <v>147</v>
      </c>
      <c r="C83" s="312" t="s">
        <v>111</v>
      </c>
      <c r="D83" s="314">
        <v>249</v>
      </c>
      <c r="E83" s="313" t="s">
        <v>948</v>
      </c>
      <c r="F83" s="315" t="str">
        <f>IF(IF(A83="","",COUNTIF(CONSOLIDADO!$A:$A,$A83))=0,"REVISAR","OK")</f>
        <v>OK</v>
      </c>
    </row>
    <row r="84" spans="1:6" ht="11.45" customHeight="1" x14ac:dyDescent="0.2">
      <c r="A84" s="312" t="s">
        <v>92</v>
      </c>
      <c r="B84" s="313" t="s">
        <v>147</v>
      </c>
      <c r="C84" s="312" t="s">
        <v>111</v>
      </c>
      <c r="D84" s="314">
        <v>250</v>
      </c>
      <c r="E84" s="313" t="s">
        <v>2073</v>
      </c>
      <c r="F84" s="315" t="str">
        <f>IF(IF(A84="","",COUNTIF(CONSOLIDADO!$A:$A,$A84))=0,"REVISAR","OK")</f>
        <v>OK</v>
      </c>
    </row>
    <row r="85" spans="1:6" ht="11.45" customHeight="1" x14ac:dyDescent="0.2">
      <c r="A85" s="312" t="s">
        <v>92</v>
      </c>
      <c r="B85" s="313" t="s">
        <v>147</v>
      </c>
      <c r="C85" s="312" t="s">
        <v>111</v>
      </c>
      <c r="D85" s="314">
        <v>250</v>
      </c>
      <c r="E85" s="313" t="s">
        <v>2211</v>
      </c>
      <c r="F85" s="315" t="str">
        <f>IF(IF(A85="","",COUNTIF(CONSOLIDADO!$A:$A,$A85))=0,"REVISAR","OK")</f>
        <v>OK</v>
      </c>
    </row>
    <row r="86" spans="1:6" ht="11.45" customHeight="1" x14ac:dyDescent="0.2">
      <c r="A86" s="312" t="s">
        <v>92</v>
      </c>
      <c r="B86" s="313" t="s">
        <v>147</v>
      </c>
      <c r="C86" s="312" t="s">
        <v>111</v>
      </c>
      <c r="D86" s="314">
        <v>250</v>
      </c>
      <c r="E86" s="313" t="s">
        <v>938</v>
      </c>
      <c r="F86" s="315" t="str">
        <f>IF(IF(A86="","",COUNTIF(CONSOLIDADO!$A:$A,$A86))=0,"REVISAR","OK")</f>
        <v>OK</v>
      </c>
    </row>
    <row r="87" spans="1:6" ht="11.45" customHeight="1" x14ac:dyDescent="0.2">
      <c r="A87" s="312" t="s">
        <v>92</v>
      </c>
      <c r="B87" s="313" t="s">
        <v>147</v>
      </c>
      <c r="C87" s="312" t="s">
        <v>111</v>
      </c>
      <c r="D87" s="314">
        <v>250</v>
      </c>
      <c r="E87" s="313" t="s">
        <v>948</v>
      </c>
      <c r="F87" s="315" t="str">
        <f>IF(IF(A87="","",COUNTIF(CONSOLIDADO!$A:$A,$A87))=0,"REVISAR","OK")</f>
        <v>OK</v>
      </c>
    </row>
    <row r="88" spans="1:6" ht="11.45" customHeight="1" x14ac:dyDescent="0.2">
      <c r="A88" s="312" t="s">
        <v>92</v>
      </c>
      <c r="B88" s="313" t="s">
        <v>147</v>
      </c>
      <c r="C88" s="312" t="s">
        <v>111</v>
      </c>
      <c r="D88" s="314">
        <v>250</v>
      </c>
      <c r="E88" s="313" t="s">
        <v>935</v>
      </c>
      <c r="F88" s="315" t="str">
        <f>IF(IF(A88="","",COUNTIF(CONSOLIDADO!$A:$A,$A88))=0,"REVISAR","OK")</f>
        <v>OK</v>
      </c>
    </row>
    <row r="89" spans="1:6" ht="11.45" customHeight="1" x14ac:dyDescent="0.2">
      <c r="A89" s="312" t="s">
        <v>92</v>
      </c>
      <c r="B89" s="313" t="s">
        <v>147</v>
      </c>
      <c r="C89" s="312" t="s">
        <v>111</v>
      </c>
      <c r="D89" s="314">
        <v>250</v>
      </c>
      <c r="E89" s="313" t="s">
        <v>2146</v>
      </c>
      <c r="F89" s="315" t="str">
        <f>IF(IF(A89="","",COUNTIF(CONSOLIDADO!$A:$A,$A89))=0,"REVISAR","OK")</f>
        <v>OK</v>
      </c>
    </row>
    <row r="90" spans="1:6" ht="11.45" customHeight="1" x14ac:dyDescent="0.2">
      <c r="A90" s="312" t="s">
        <v>92</v>
      </c>
      <c r="B90" s="313" t="s">
        <v>147</v>
      </c>
      <c r="C90" s="312" t="s">
        <v>111</v>
      </c>
      <c r="D90" s="314">
        <v>250</v>
      </c>
      <c r="E90" s="313" t="s">
        <v>2005</v>
      </c>
      <c r="F90" s="315" t="str">
        <f>IF(IF(A90="","",COUNTIF(CONSOLIDADO!$A:$A,$A90))=0,"REVISAR","OK")</f>
        <v>OK</v>
      </c>
    </row>
    <row r="91" spans="1:6" ht="11.45" customHeight="1" x14ac:dyDescent="0.2">
      <c r="A91" s="312" t="s">
        <v>92</v>
      </c>
      <c r="B91" s="313" t="s">
        <v>147</v>
      </c>
      <c r="C91" s="312" t="s">
        <v>111</v>
      </c>
      <c r="D91" s="314">
        <v>273</v>
      </c>
      <c r="E91" s="313" t="s">
        <v>939</v>
      </c>
      <c r="F91" s="315" t="str">
        <f>IF(IF(A91="","",COUNTIF(CONSOLIDADO!$A:$A,$A91))=0,"REVISAR","OK")</f>
        <v>OK</v>
      </c>
    </row>
    <row r="92" spans="1:6" ht="11.45" customHeight="1" x14ac:dyDescent="0.2">
      <c r="A92" s="312" t="s">
        <v>92</v>
      </c>
      <c r="B92" s="313" t="s">
        <v>147</v>
      </c>
      <c r="C92" s="312" t="s">
        <v>111</v>
      </c>
      <c r="D92" s="314">
        <v>300</v>
      </c>
      <c r="E92" s="313" t="s">
        <v>943</v>
      </c>
      <c r="F92" s="315" t="str">
        <f>IF(IF(A92="","",COUNTIF(CONSOLIDADO!$A:$A,$A92))=0,"REVISAR","OK")</f>
        <v>OK</v>
      </c>
    </row>
    <row r="93" spans="1:6" ht="11.45" customHeight="1" x14ac:dyDescent="0.2">
      <c r="A93" s="312" t="s">
        <v>92</v>
      </c>
      <c r="B93" s="313" t="s">
        <v>147</v>
      </c>
      <c r="C93" s="312" t="s">
        <v>111</v>
      </c>
      <c r="D93" s="314">
        <v>300</v>
      </c>
      <c r="E93" s="313" t="s">
        <v>974</v>
      </c>
      <c r="F93" s="315" t="str">
        <f>IF(IF(A93="","",COUNTIF(CONSOLIDADO!$A:$A,$A93))=0,"REVISAR","OK")</f>
        <v>OK</v>
      </c>
    </row>
    <row r="94" spans="1:6" ht="11.45" customHeight="1" x14ac:dyDescent="0.2">
      <c r="A94" s="312" t="s">
        <v>92</v>
      </c>
      <c r="B94" s="313" t="s">
        <v>147</v>
      </c>
      <c r="C94" s="312" t="s">
        <v>111</v>
      </c>
      <c r="D94" s="314">
        <v>300</v>
      </c>
      <c r="E94" s="313" t="s">
        <v>938</v>
      </c>
      <c r="F94" s="315" t="str">
        <f>IF(IF(A94="","",COUNTIF(CONSOLIDADO!$A:$A,$A94))=0,"REVISAR","OK")</f>
        <v>OK</v>
      </c>
    </row>
    <row r="95" spans="1:6" ht="11.45" customHeight="1" x14ac:dyDescent="0.2">
      <c r="A95" s="312" t="s">
        <v>92</v>
      </c>
      <c r="B95" s="313" t="s">
        <v>147</v>
      </c>
      <c r="C95" s="312" t="s">
        <v>111</v>
      </c>
      <c r="D95" s="314">
        <v>300</v>
      </c>
      <c r="E95" s="313" t="s">
        <v>940</v>
      </c>
      <c r="F95" s="315" t="str">
        <f>IF(IF(A95="","",COUNTIF(CONSOLIDADO!$A:$A,$A95))=0,"REVISAR","OK")</f>
        <v>OK</v>
      </c>
    </row>
    <row r="96" spans="1:6" ht="11.45" customHeight="1" x14ac:dyDescent="0.2">
      <c r="A96" s="312" t="s">
        <v>92</v>
      </c>
      <c r="B96" s="313" t="s">
        <v>147</v>
      </c>
      <c r="C96" s="312" t="s">
        <v>111</v>
      </c>
      <c r="D96" s="314">
        <v>357</v>
      </c>
      <c r="E96" s="313" t="s">
        <v>982</v>
      </c>
      <c r="F96" s="315" t="str">
        <f>IF(IF(A96="","",COUNTIF(CONSOLIDADO!$A:$A,$A96))=0,"REVISAR","OK")</f>
        <v>OK</v>
      </c>
    </row>
    <row r="97" spans="1:6" ht="11.45" customHeight="1" x14ac:dyDescent="0.2">
      <c r="A97" s="312" t="s">
        <v>92</v>
      </c>
      <c r="B97" s="313" t="s">
        <v>147</v>
      </c>
      <c r="C97" s="312" t="s">
        <v>111</v>
      </c>
      <c r="D97" s="314">
        <v>357</v>
      </c>
      <c r="E97" s="313" t="s">
        <v>2258</v>
      </c>
      <c r="F97" s="315" t="str">
        <f>IF(IF(A97="","",COUNTIF(CONSOLIDADO!$A:$A,$A97))=0,"REVISAR","OK")</f>
        <v>OK</v>
      </c>
    </row>
    <row r="98" spans="1:6" ht="11.45" customHeight="1" x14ac:dyDescent="0.2">
      <c r="A98" s="312" t="s">
        <v>92</v>
      </c>
      <c r="B98" s="313" t="s">
        <v>147</v>
      </c>
      <c r="C98" s="312" t="s">
        <v>111</v>
      </c>
      <c r="D98" s="314">
        <v>390</v>
      </c>
      <c r="E98" s="313" t="s">
        <v>945</v>
      </c>
      <c r="F98" s="315" t="str">
        <f>IF(IF(A98="","",COUNTIF(CONSOLIDADO!$A:$A,$A98))=0,"REVISAR","OK")</f>
        <v>OK</v>
      </c>
    </row>
    <row r="99" spans="1:6" ht="11.45" customHeight="1" x14ac:dyDescent="0.2">
      <c r="A99" s="312" t="s">
        <v>92</v>
      </c>
      <c r="B99" s="313" t="s">
        <v>147</v>
      </c>
      <c r="C99" s="312" t="s">
        <v>111</v>
      </c>
      <c r="D99" s="314">
        <v>400</v>
      </c>
      <c r="E99" s="313" t="s">
        <v>2232</v>
      </c>
      <c r="F99" s="315" t="str">
        <f>IF(IF(A99="","",COUNTIF(CONSOLIDADO!$A:$A,$A99))=0,"REVISAR","OK")</f>
        <v>OK</v>
      </c>
    </row>
    <row r="100" spans="1:6" ht="11.45" customHeight="1" x14ac:dyDescent="0.2">
      <c r="A100" s="312" t="s">
        <v>92</v>
      </c>
      <c r="B100" s="313" t="s">
        <v>147</v>
      </c>
      <c r="C100" s="312" t="s">
        <v>111</v>
      </c>
      <c r="D100" s="314">
        <v>400</v>
      </c>
      <c r="E100" s="313" t="s">
        <v>974</v>
      </c>
      <c r="F100" s="315" t="str">
        <f>IF(IF(A100="","",COUNTIF(CONSOLIDADO!$A:$A,$A100))=0,"REVISAR","OK")</f>
        <v>OK</v>
      </c>
    </row>
    <row r="101" spans="1:6" ht="11.45" customHeight="1" x14ac:dyDescent="0.2">
      <c r="A101" s="312" t="s">
        <v>92</v>
      </c>
      <c r="B101" s="313" t="s">
        <v>147</v>
      </c>
      <c r="C101" s="312" t="s">
        <v>111</v>
      </c>
      <c r="D101" s="314">
        <v>450</v>
      </c>
      <c r="E101" s="313" t="s">
        <v>2232</v>
      </c>
      <c r="F101" s="315" t="str">
        <f>IF(IF(A101="","",COUNTIF(CONSOLIDADO!$A:$A,$A101))=0,"REVISAR","OK")</f>
        <v>OK</v>
      </c>
    </row>
    <row r="102" spans="1:6" ht="11.45" customHeight="1" x14ac:dyDescent="0.2">
      <c r="A102" s="312" t="s">
        <v>92</v>
      </c>
      <c r="B102" s="313" t="s">
        <v>147</v>
      </c>
      <c r="C102" s="312" t="s">
        <v>111</v>
      </c>
      <c r="D102" s="314">
        <v>500</v>
      </c>
      <c r="E102" s="313" t="s">
        <v>2210</v>
      </c>
      <c r="F102" s="315" t="str">
        <f>IF(IF(A102="","",COUNTIF(CONSOLIDADO!$A:$A,$A102))=0,"REVISAR","OK")</f>
        <v>OK</v>
      </c>
    </row>
    <row r="103" spans="1:6" ht="11.45" customHeight="1" x14ac:dyDescent="0.2">
      <c r="A103" s="312" t="s">
        <v>92</v>
      </c>
      <c r="B103" s="313" t="s">
        <v>147</v>
      </c>
      <c r="C103" s="312" t="s">
        <v>111</v>
      </c>
      <c r="D103" s="314">
        <v>1080</v>
      </c>
      <c r="E103" s="313" t="s">
        <v>2176</v>
      </c>
      <c r="F103" s="315" t="str">
        <f>IF(IF(A103="","",COUNTIF(CONSOLIDADO!$A:$A,$A103))=0,"REVISAR","OK")</f>
        <v>OK</v>
      </c>
    </row>
    <row r="104" spans="1:6" ht="11.45" customHeight="1" x14ac:dyDescent="0.2">
      <c r="A104" s="312" t="s">
        <v>662</v>
      </c>
      <c r="B104" s="313" t="s">
        <v>471</v>
      </c>
      <c r="C104" s="312" t="s">
        <v>202</v>
      </c>
      <c r="D104" s="314">
        <v>526</v>
      </c>
      <c r="E104" s="313" t="s">
        <v>944</v>
      </c>
      <c r="F104" s="315" t="str">
        <f>IF(IF(A104="","",COUNTIF(CONSOLIDADO!$A:$A,$A104))=0,"REVISAR","OK")</f>
        <v>OK</v>
      </c>
    </row>
    <row r="105" spans="1:6" ht="11.45" customHeight="1" x14ac:dyDescent="0.2">
      <c r="A105" s="312" t="s">
        <v>662</v>
      </c>
      <c r="B105" s="313" t="s">
        <v>471</v>
      </c>
      <c r="C105" s="312" t="s">
        <v>202</v>
      </c>
      <c r="D105" s="314">
        <v>800</v>
      </c>
      <c r="E105" s="313" t="s">
        <v>933</v>
      </c>
      <c r="F105" s="315" t="str">
        <f>IF(IF(A105="","",COUNTIF(CONSOLIDADO!$A:$A,$A105))=0,"REVISAR","OK")</f>
        <v>OK</v>
      </c>
    </row>
    <row r="106" spans="1:6" ht="11.45" customHeight="1" x14ac:dyDescent="0.2">
      <c r="A106" s="312" t="s">
        <v>662</v>
      </c>
      <c r="B106" s="313" t="s">
        <v>471</v>
      </c>
      <c r="C106" s="312" t="s">
        <v>202</v>
      </c>
      <c r="D106" s="314">
        <v>900</v>
      </c>
      <c r="E106" s="313" t="s">
        <v>936</v>
      </c>
      <c r="F106" s="315" t="str">
        <f>IF(IF(A106="","",COUNTIF(CONSOLIDADO!$A:$A,$A106))=0,"REVISAR","OK")</f>
        <v>OK</v>
      </c>
    </row>
    <row r="107" spans="1:6" ht="11.45" customHeight="1" x14ac:dyDescent="0.2">
      <c r="A107" s="312" t="s">
        <v>662</v>
      </c>
      <c r="B107" s="313" t="s">
        <v>471</v>
      </c>
      <c r="C107" s="312" t="s">
        <v>202</v>
      </c>
      <c r="D107" s="314">
        <v>952</v>
      </c>
      <c r="E107" s="313" t="s">
        <v>2258</v>
      </c>
      <c r="F107" s="315" t="str">
        <f>IF(IF(A107="","",COUNTIF(CONSOLIDADO!$A:$A,$A107))=0,"REVISAR","OK")</f>
        <v>OK</v>
      </c>
    </row>
    <row r="108" spans="1:6" ht="11.45" customHeight="1" x14ac:dyDescent="0.2">
      <c r="A108" s="312" t="s">
        <v>662</v>
      </c>
      <c r="B108" s="313" t="s">
        <v>471</v>
      </c>
      <c r="C108" s="312" t="s">
        <v>202</v>
      </c>
      <c r="D108" s="314">
        <v>1000</v>
      </c>
      <c r="E108" s="313" t="s">
        <v>943</v>
      </c>
      <c r="F108" s="315" t="str">
        <f>IF(IF(A108="","",COUNTIF(CONSOLIDADO!$A:$A,$A108))=0,"REVISAR","OK")</f>
        <v>OK</v>
      </c>
    </row>
    <row r="109" spans="1:6" ht="11.45" customHeight="1" x14ac:dyDescent="0.2">
      <c r="A109" s="312" t="s">
        <v>662</v>
      </c>
      <c r="B109" s="313" t="s">
        <v>471</v>
      </c>
      <c r="C109" s="312" t="s">
        <v>202</v>
      </c>
      <c r="D109" s="314">
        <v>1132</v>
      </c>
      <c r="E109" s="313" t="s">
        <v>931</v>
      </c>
      <c r="F109" s="315" t="str">
        <f>IF(IF(A109="","",COUNTIF(CONSOLIDADO!$A:$A,$A109))=0,"REVISAR","OK")</f>
        <v>OK</v>
      </c>
    </row>
    <row r="110" spans="1:6" ht="11.45" customHeight="1" x14ac:dyDescent="0.2">
      <c r="A110" s="312" t="s">
        <v>83</v>
      </c>
      <c r="B110" s="313" t="s">
        <v>957</v>
      </c>
      <c r="C110" s="312" t="s">
        <v>15</v>
      </c>
      <c r="D110" s="314">
        <v>8568</v>
      </c>
      <c r="E110" s="313" t="s">
        <v>935</v>
      </c>
      <c r="F110" s="315" t="str">
        <f>IF(IF(A110="","",COUNTIF(CONSOLIDADO!$A:$A,$A110))=0,"REVISAR","OK")</f>
        <v>OK</v>
      </c>
    </row>
    <row r="111" spans="1:6" ht="11.45" customHeight="1" x14ac:dyDescent="0.2">
      <c r="A111" s="312" t="s">
        <v>2239</v>
      </c>
      <c r="B111" s="313" t="s">
        <v>2240</v>
      </c>
      <c r="C111" s="312" t="s">
        <v>906</v>
      </c>
      <c r="D111" s="314">
        <v>29400</v>
      </c>
      <c r="E111" s="313" t="s">
        <v>936</v>
      </c>
      <c r="F111" s="315" t="str">
        <f>IF(IF(A111="","",COUNTIF(CONSOLIDADO!$A:$A,$A111))=0,"REVISAR","OK")</f>
        <v>OK</v>
      </c>
    </row>
    <row r="112" spans="1:6" ht="11.45" customHeight="1" x14ac:dyDescent="0.2">
      <c r="A112" s="312" t="s">
        <v>1265</v>
      </c>
      <c r="B112" s="313" t="s">
        <v>1266</v>
      </c>
      <c r="C112" s="312" t="s">
        <v>942</v>
      </c>
      <c r="D112" s="314">
        <v>1654</v>
      </c>
      <c r="E112" s="313" t="s">
        <v>936</v>
      </c>
      <c r="F112" s="315" t="str">
        <f>IF(IF(A112="","",COUNTIF(CONSOLIDADO!$A:$A,$A112))=0,"REVISAR","OK")</f>
        <v>OK</v>
      </c>
    </row>
    <row r="113" spans="1:6" ht="11.45" customHeight="1" x14ac:dyDescent="0.2">
      <c r="A113" s="312" t="s">
        <v>192</v>
      </c>
      <c r="B113" s="313" t="s">
        <v>960</v>
      </c>
      <c r="C113" s="312" t="s">
        <v>202</v>
      </c>
      <c r="D113" s="314">
        <v>1000</v>
      </c>
      <c r="E113" s="313" t="s">
        <v>931</v>
      </c>
      <c r="F113" s="315" t="str">
        <f>IF(IF(A113="","",COUNTIF(CONSOLIDADO!$A:$A,$A113))=0,"REVISAR","OK")</f>
        <v>OK</v>
      </c>
    </row>
    <row r="114" spans="1:6" ht="11.45" customHeight="1" x14ac:dyDescent="0.2">
      <c r="A114" s="312" t="s">
        <v>192</v>
      </c>
      <c r="B114" s="313" t="s">
        <v>960</v>
      </c>
      <c r="C114" s="312" t="s">
        <v>202</v>
      </c>
      <c r="D114" s="314">
        <v>1071</v>
      </c>
      <c r="E114" s="313" t="s">
        <v>2233</v>
      </c>
      <c r="F114" s="315" t="str">
        <f>IF(IF(A114="","",COUNTIF(CONSOLIDADO!$A:$A,$A114))=0,"REVISAR","OK")</f>
        <v>OK</v>
      </c>
    </row>
    <row r="115" spans="1:6" ht="11.45" customHeight="1" x14ac:dyDescent="0.2">
      <c r="A115" s="312" t="s">
        <v>192</v>
      </c>
      <c r="B115" s="313" t="s">
        <v>960</v>
      </c>
      <c r="C115" s="312" t="s">
        <v>202</v>
      </c>
      <c r="D115" s="314">
        <v>1071</v>
      </c>
      <c r="E115" s="313" t="s">
        <v>1115</v>
      </c>
      <c r="F115" s="315" t="str">
        <f>IF(IF(A115="","",COUNTIF(CONSOLIDADO!$A:$A,$A115))=0,"REVISAR","OK")</f>
        <v>OK</v>
      </c>
    </row>
    <row r="116" spans="1:6" ht="11.45" customHeight="1" x14ac:dyDescent="0.2">
      <c r="A116" s="312" t="s">
        <v>192</v>
      </c>
      <c r="B116" s="313" t="s">
        <v>960</v>
      </c>
      <c r="C116" s="312" t="s">
        <v>202</v>
      </c>
      <c r="D116" s="314">
        <v>1101</v>
      </c>
      <c r="E116" s="313" t="s">
        <v>934</v>
      </c>
      <c r="F116" s="315" t="str">
        <f>IF(IF(A116="","",COUNTIF(CONSOLIDADO!$A:$A,$A116))=0,"REVISAR","OK")</f>
        <v>OK</v>
      </c>
    </row>
    <row r="117" spans="1:6" ht="11.45" customHeight="1" x14ac:dyDescent="0.2">
      <c r="A117" s="312" t="s">
        <v>192</v>
      </c>
      <c r="B117" s="313" t="s">
        <v>960</v>
      </c>
      <c r="C117" s="312" t="s">
        <v>202</v>
      </c>
      <c r="D117" s="314">
        <v>1190</v>
      </c>
      <c r="E117" s="313" t="s">
        <v>2258</v>
      </c>
      <c r="F117" s="315" t="str">
        <f>IF(IF(A117="","",COUNTIF(CONSOLIDADO!$A:$A,$A117))=0,"REVISAR","OK")</f>
        <v>OK</v>
      </c>
    </row>
    <row r="118" spans="1:6" ht="11.45" customHeight="1" x14ac:dyDescent="0.2">
      <c r="A118" s="312" t="s">
        <v>192</v>
      </c>
      <c r="B118" s="313" t="s">
        <v>960</v>
      </c>
      <c r="C118" s="312" t="s">
        <v>202</v>
      </c>
      <c r="D118" s="314">
        <v>1190</v>
      </c>
      <c r="E118" s="313" t="s">
        <v>939</v>
      </c>
      <c r="F118" s="315" t="str">
        <f>IF(IF(A118="","",COUNTIF(CONSOLIDADO!$A:$A,$A118))=0,"REVISAR","OK")</f>
        <v>OK</v>
      </c>
    </row>
    <row r="119" spans="1:6" ht="11.45" customHeight="1" x14ac:dyDescent="0.2">
      <c r="A119" s="312" t="s">
        <v>192</v>
      </c>
      <c r="B119" s="313" t="s">
        <v>960</v>
      </c>
      <c r="C119" s="312" t="s">
        <v>202</v>
      </c>
      <c r="D119" s="314">
        <v>1428</v>
      </c>
      <c r="E119" s="313" t="s">
        <v>982</v>
      </c>
      <c r="F119" s="315" t="str">
        <f>IF(IF(A119="","",COUNTIF(CONSOLIDADO!$A:$A,$A119))=0,"REVISAR","OK")</f>
        <v>OK</v>
      </c>
    </row>
    <row r="120" spans="1:6" ht="11.45" customHeight="1" x14ac:dyDescent="0.2">
      <c r="A120" s="312" t="s">
        <v>192</v>
      </c>
      <c r="B120" s="313" t="s">
        <v>960</v>
      </c>
      <c r="C120" s="312" t="s">
        <v>202</v>
      </c>
      <c r="D120" s="314">
        <v>1490</v>
      </c>
      <c r="E120" s="313" t="s">
        <v>931</v>
      </c>
      <c r="F120" s="315" t="str">
        <f>IF(IF(A120="","",COUNTIF(CONSOLIDADO!$A:$A,$A120))=0,"REVISAR","OK")</f>
        <v>OK</v>
      </c>
    </row>
    <row r="121" spans="1:6" ht="11.45" customHeight="1" x14ac:dyDescent="0.2">
      <c r="A121" s="312" t="s">
        <v>192</v>
      </c>
      <c r="B121" s="313" t="s">
        <v>960</v>
      </c>
      <c r="C121" s="312" t="s">
        <v>202</v>
      </c>
      <c r="D121" s="314">
        <v>1500</v>
      </c>
      <c r="E121" s="313" t="s">
        <v>943</v>
      </c>
      <c r="F121" s="315" t="str">
        <f>IF(IF(A121="","",COUNTIF(CONSOLIDADO!$A:$A,$A121))=0,"REVISAR","OK")</f>
        <v>OK</v>
      </c>
    </row>
    <row r="122" spans="1:6" ht="11.45" customHeight="1" x14ac:dyDescent="0.2">
      <c r="A122" s="312" t="s">
        <v>192</v>
      </c>
      <c r="B122" s="313" t="s">
        <v>960</v>
      </c>
      <c r="C122" s="312" t="s">
        <v>202</v>
      </c>
      <c r="D122" s="314">
        <v>1689</v>
      </c>
      <c r="E122" s="313" t="s">
        <v>945</v>
      </c>
      <c r="F122" s="315" t="str">
        <f>IF(IF(A122="","",COUNTIF(CONSOLIDADO!$A:$A,$A122))=0,"REVISAR","OK")</f>
        <v>OK</v>
      </c>
    </row>
    <row r="123" spans="1:6" ht="11.45" customHeight="1" x14ac:dyDescent="0.2">
      <c r="A123" s="312" t="s">
        <v>192</v>
      </c>
      <c r="B123" s="313" t="s">
        <v>960</v>
      </c>
      <c r="C123" s="312" t="s">
        <v>202</v>
      </c>
      <c r="D123" s="314">
        <v>1690</v>
      </c>
      <c r="E123" s="313" t="s">
        <v>2005</v>
      </c>
      <c r="F123" s="315" t="str">
        <f>IF(IF(A123="","",COUNTIF(CONSOLIDADO!$A:$A,$A123))=0,"REVISAR","OK")</f>
        <v>OK</v>
      </c>
    </row>
    <row r="124" spans="1:6" ht="11.45" customHeight="1" x14ac:dyDescent="0.2">
      <c r="A124" s="312" t="s">
        <v>1902</v>
      </c>
      <c r="B124" s="313" t="s">
        <v>1903</v>
      </c>
      <c r="C124" s="312" t="s">
        <v>1007</v>
      </c>
      <c r="D124" s="314">
        <v>550</v>
      </c>
      <c r="E124" s="313" t="s">
        <v>2297</v>
      </c>
      <c r="F124" s="315" t="str">
        <f>IF(IF(A124="","",COUNTIF(CONSOLIDADO!$A:$A,$A124))=0,"REVISAR","OK")</f>
        <v>OK</v>
      </c>
    </row>
    <row r="125" spans="1:6" ht="11.45" customHeight="1" x14ac:dyDescent="0.2">
      <c r="A125" s="312" t="s">
        <v>136</v>
      </c>
      <c r="B125" s="313" t="s">
        <v>137</v>
      </c>
      <c r="C125" s="312" t="s">
        <v>111</v>
      </c>
      <c r="D125" s="314">
        <v>941</v>
      </c>
      <c r="E125" s="313" t="s">
        <v>937</v>
      </c>
      <c r="F125" s="315" t="str">
        <f>IF(IF(A125="","",COUNTIF(CONSOLIDADO!$A:$A,$A125))=0,"REVISAR","OK")</f>
        <v>OK</v>
      </c>
    </row>
    <row r="126" spans="1:6" ht="11.45" customHeight="1" x14ac:dyDescent="0.2">
      <c r="A126" s="312" t="s">
        <v>136</v>
      </c>
      <c r="B126" s="313" t="s">
        <v>137</v>
      </c>
      <c r="C126" s="312" t="s">
        <v>111</v>
      </c>
      <c r="D126" s="314">
        <v>948</v>
      </c>
      <c r="E126" s="313" t="s">
        <v>2070</v>
      </c>
      <c r="F126" s="315" t="str">
        <f>IF(IF(A126="","",COUNTIF(CONSOLIDADO!$A:$A,$A126))=0,"REVISAR","OK")</f>
        <v>OK</v>
      </c>
    </row>
    <row r="127" spans="1:6" ht="11.45" customHeight="1" x14ac:dyDescent="0.2">
      <c r="A127" s="312" t="s">
        <v>136</v>
      </c>
      <c r="B127" s="313" t="s">
        <v>137</v>
      </c>
      <c r="C127" s="312" t="s">
        <v>111</v>
      </c>
      <c r="D127" s="314">
        <v>949</v>
      </c>
      <c r="E127" s="313" t="s">
        <v>944</v>
      </c>
      <c r="F127" s="315" t="str">
        <f>IF(IF(A127="","",COUNTIF(CONSOLIDADO!$A:$A,$A127))=0,"REVISAR","OK")</f>
        <v>OK</v>
      </c>
    </row>
    <row r="128" spans="1:6" ht="11.45" customHeight="1" x14ac:dyDescent="0.2">
      <c r="A128" s="312" t="s">
        <v>136</v>
      </c>
      <c r="B128" s="313" t="s">
        <v>137</v>
      </c>
      <c r="C128" s="312" t="s">
        <v>111</v>
      </c>
      <c r="D128" s="314">
        <v>1142</v>
      </c>
      <c r="E128" s="313" t="s">
        <v>951</v>
      </c>
      <c r="F128" s="315" t="str">
        <f>IF(IF(A128="","",COUNTIF(CONSOLIDADO!$A:$A,$A128))=0,"REVISAR","OK")</f>
        <v>OK</v>
      </c>
    </row>
    <row r="129" spans="1:6" ht="11.45" customHeight="1" x14ac:dyDescent="0.2">
      <c r="A129" s="312" t="s">
        <v>136</v>
      </c>
      <c r="B129" s="313" t="s">
        <v>137</v>
      </c>
      <c r="C129" s="312" t="s">
        <v>111</v>
      </c>
      <c r="D129" s="314">
        <v>1166</v>
      </c>
      <c r="E129" s="313" t="s">
        <v>1115</v>
      </c>
      <c r="F129" s="315" t="str">
        <f>IF(IF(A129="","",COUNTIF(CONSOLIDADO!$A:$A,$A129))=0,"REVISAR","OK")</f>
        <v>OK</v>
      </c>
    </row>
    <row r="130" spans="1:6" ht="11.45" customHeight="1" x14ac:dyDescent="0.2">
      <c r="A130" s="312" t="s">
        <v>136</v>
      </c>
      <c r="B130" s="313" t="s">
        <v>137</v>
      </c>
      <c r="C130" s="312" t="s">
        <v>111</v>
      </c>
      <c r="D130" s="314">
        <v>1200</v>
      </c>
      <c r="E130" s="313" t="s">
        <v>938</v>
      </c>
      <c r="F130" s="315" t="str">
        <f>IF(IF(A130="","",COUNTIF(CONSOLIDADO!$A:$A,$A130))=0,"REVISAR","OK")</f>
        <v>OK</v>
      </c>
    </row>
    <row r="131" spans="1:6" ht="11.45" customHeight="1" x14ac:dyDescent="0.2">
      <c r="A131" s="312" t="s">
        <v>136</v>
      </c>
      <c r="B131" s="313" t="s">
        <v>137</v>
      </c>
      <c r="C131" s="312" t="s">
        <v>111</v>
      </c>
      <c r="D131" s="314">
        <v>1428</v>
      </c>
      <c r="E131" s="313" t="s">
        <v>939</v>
      </c>
      <c r="F131" s="315" t="str">
        <f>IF(IF(A131="","",COUNTIF(CONSOLIDADO!$A:$A,$A131))=0,"REVISAR","OK")</f>
        <v>OK</v>
      </c>
    </row>
    <row r="132" spans="1:6" ht="11.45" customHeight="1" x14ac:dyDescent="0.2">
      <c r="A132" s="312" t="s">
        <v>136</v>
      </c>
      <c r="B132" s="313" t="s">
        <v>137</v>
      </c>
      <c r="C132" s="312" t="s">
        <v>111</v>
      </c>
      <c r="D132" s="314">
        <v>1428</v>
      </c>
      <c r="E132" s="313" t="s">
        <v>1115</v>
      </c>
      <c r="F132" s="315" t="str">
        <f>IF(IF(A132="","",COUNTIF(CONSOLIDADO!$A:$A,$A132))=0,"REVISAR","OK")</f>
        <v>OK</v>
      </c>
    </row>
    <row r="133" spans="1:6" ht="11.45" customHeight="1" x14ac:dyDescent="0.2">
      <c r="A133" s="312" t="s">
        <v>136</v>
      </c>
      <c r="B133" s="313" t="s">
        <v>137</v>
      </c>
      <c r="C133" s="312" t="s">
        <v>111</v>
      </c>
      <c r="D133" s="314">
        <v>1500</v>
      </c>
      <c r="E133" s="313" t="s">
        <v>938</v>
      </c>
      <c r="F133" s="315" t="str">
        <f>IF(IF(A133="","",COUNTIF(CONSOLIDADO!$A:$A,$A133))=0,"REVISAR","OK")</f>
        <v>OK</v>
      </c>
    </row>
    <row r="134" spans="1:6" ht="11.45" customHeight="1" x14ac:dyDescent="0.2">
      <c r="A134" s="312" t="s">
        <v>136</v>
      </c>
      <c r="B134" s="313" t="s">
        <v>137</v>
      </c>
      <c r="C134" s="312" t="s">
        <v>111</v>
      </c>
      <c r="D134" s="314">
        <v>1500</v>
      </c>
      <c r="E134" s="313" t="s">
        <v>2210</v>
      </c>
      <c r="F134" s="315" t="str">
        <f>IF(IF(A134="","",COUNTIF(CONSOLIDADO!$A:$A,$A134))=0,"REVISAR","OK")</f>
        <v>OK</v>
      </c>
    </row>
    <row r="135" spans="1:6" ht="11.45" customHeight="1" x14ac:dyDescent="0.2">
      <c r="A135" s="312" t="s">
        <v>136</v>
      </c>
      <c r="B135" s="313" t="s">
        <v>137</v>
      </c>
      <c r="C135" s="312" t="s">
        <v>111</v>
      </c>
      <c r="D135" s="314">
        <v>1600</v>
      </c>
      <c r="E135" s="313" t="s">
        <v>2210</v>
      </c>
      <c r="F135" s="315" t="str">
        <f>IF(IF(A135="","",COUNTIF(CONSOLIDADO!$A:$A,$A135))=0,"REVISAR","OK")</f>
        <v>OK</v>
      </c>
    </row>
    <row r="136" spans="1:6" ht="11.45" customHeight="1" x14ac:dyDescent="0.2">
      <c r="A136" s="312" t="s">
        <v>136</v>
      </c>
      <c r="B136" s="313" t="s">
        <v>137</v>
      </c>
      <c r="C136" s="312" t="s">
        <v>111</v>
      </c>
      <c r="D136" s="314">
        <v>1700</v>
      </c>
      <c r="E136" s="313" t="s">
        <v>938</v>
      </c>
      <c r="F136" s="315" t="str">
        <f>IF(IF(A136="","",COUNTIF(CONSOLIDADO!$A:$A,$A136))=0,"REVISAR","OK")</f>
        <v>OK</v>
      </c>
    </row>
    <row r="137" spans="1:6" ht="11.45" customHeight="1" x14ac:dyDescent="0.2">
      <c r="A137" s="312" t="s">
        <v>136</v>
      </c>
      <c r="B137" s="313" t="s">
        <v>137</v>
      </c>
      <c r="C137" s="312" t="s">
        <v>111</v>
      </c>
      <c r="D137" s="314">
        <v>1783</v>
      </c>
      <c r="E137" s="313" t="s">
        <v>934</v>
      </c>
      <c r="F137" s="315" t="str">
        <f>IF(IF(A137="","",COUNTIF(CONSOLIDADO!$A:$A,$A137))=0,"REVISAR","OK")</f>
        <v>OK</v>
      </c>
    </row>
    <row r="138" spans="1:6" ht="11.45" customHeight="1" x14ac:dyDescent="0.2">
      <c r="A138" s="312" t="s">
        <v>136</v>
      </c>
      <c r="B138" s="313" t="s">
        <v>137</v>
      </c>
      <c r="C138" s="312" t="s">
        <v>111</v>
      </c>
      <c r="D138" s="314">
        <v>1784</v>
      </c>
      <c r="E138" s="313" t="s">
        <v>943</v>
      </c>
      <c r="F138" s="315" t="str">
        <f>IF(IF(A138="","",COUNTIF(CONSOLIDADO!$A:$A,$A138))=0,"REVISAR","OK")</f>
        <v>OK</v>
      </c>
    </row>
    <row r="139" spans="1:6" ht="11.45" customHeight="1" x14ac:dyDescent="0.2">
      <c r="A139" s="312" t="s">
        <v>136</v>
      </c>
      <c r="B139" s="313" t="s">
        <v>137</v>
      </c>
      <c r="C139" s="312" t="s">
        <v>111</v>
      </c>
      <c r="D139" s="314">
        <v>1789</v>
      </c>
      <c r="E139" s="313" t="s">
        <v>945</v>
      </c>
      <c r="F139" s="315" t="str">
        <f>IF(IF(A139="","",COUNTIF(CONSOLIDADO!$A:$A,$A139))=0,"REVISAR","OK")</f>
        <v>OK</v>
      </c>
    </row>
    <row r="140" spans="1:6" ht="11.45" customHeight="1" x14ac:dyDescent="0.2">
      <c r="A140" s="312" t="s">
        <v>136</v>
      </c>
      <c r="B140" s="313" t="s">
        <v>137</v>
      </c>
      <c r="C140" s="312" t="s">
        <v>111</v>
      </c>
      <c r="D140" s="314">
        <v>1898</v>
      </c>
      <c r="E140" s="313" t="s">
        <v>2005</v>
      </c>
      <c r="F140" s="315" t="str">
        <f>IF(IF(A140="","",COUNTIF(CONSOLIDADO!$A:$A,$A140))=0,"REVISAR","OK")</f>
        <v>OK</v>
      </c>
    </row>
    <row r="141" spans="1:6" ht="11.45" customHeight="1" x14ac:dyDescent="0.2">
      <c r="A141" s="312" t="s">
        <v>136</v>
      </c>
      <c r="B141" s="313" t="s">
        <v>137</v>
      </c>
      <c r="C141" s="312" t="s">
        <v>111</v>
      </c>
      <c r="D141" s="314">
        <v>1900</v>
      </c>
      <c r="E141" s="313" t="s">
        <v>933</v>
      </c>
      <c r="F141" s="315" t="str">
        <f>IF(IF(A141="","",COUNTIF(CONSOLIDADO!$A:$A,$A141))=0,"REVISAR","OK")</f>
        <v>OK</v>
      </c>
    </row>
    <row r="142" spans="1:6" ht="11.45" customHeight="1" x14ac:dyDescent="0.2">
      <c r="A142" s="312" t="s">
        <v>682</v>
      </c>
      <c r="B142" s="313" t="s">
        <v>1269</v>
      </c>
      <c r="C142" s="312" t="s">
        <v>15</v>
      </c>
      <c r="D142" s="314">
        <v>2677</v>
      </c>
      <c r="E142" s="313" t="s">
        <v>1115</v>
      </c>
      <c r="F142" s="315" t="str">
        <f>IF(IF(A142="","",COUNTIF(CONSOLIDADO!$A:$A,$A142))=0,"REVISAR","OK")</f>
        <v>OK</v>
      </c>
    </row>
    <row r="143" spans="1:6" ht="11.45" customHeight="1" x14ac:dyDescent="0.2">
      <c r="A143" s="312" t="s">
        <v>682</v>
      </c>
      <c r="B143" s="313" t="s">
        <v>1269</v>
      </c>
      <c r="C143" s="312" t="s">
        <v>15</v>
      </c>
      <c r="D143" s="314">
        <v>3094</v>
      </c>
      <c r="E143" s="313" t="s">
        <v>929</v>
      </c>
      <c r="F143" s="315" t="str">
        <f>IF(IF(A143="","",COUNTIF(CONSOLIDADO!$A:$A,$A143))=0,"REVISAR","OK")</f>
        <v>OK</v>
      </c>
    </row>
    <row r="144" spans="1:6" ht="11.45" customHeight="1" x14ac:dyDescent="0.2">
      <c r="A144" s="312" t="s">
        <v>1854</v>
      </c>
      <c r="B144" s="313" t="s">
        <v>1855</v>
      </c>
      <c r="C144" s="312" t="s">
        <v>15</v>
      </c>
      <c r="D144" s="314">
        <v>1523</v>
      </c>
      <c r="E144" s="313" t="s">
        <v>1115</v>
      </c>
      <c r="F144" s="315" t="str">
        <f>IF(IF(A144="","",COUNTIF(CONSOLIDADO!$A:$A,$A144))=0,"REVISAR","OK")</f>
        <v>OK</v>
      </c>
    </row>
    <row r="145" spans="1:6" ht="11.45" customHeight="1" x14ac:dyDescent="0.2">
      <c r="A145" s="312" t="s">
        <v>1854</v>
      </c>
      <c r="B145" s="313" t="s">
        <v>1855</v>
      </c>
      <c r="C145" s="312" t="s">
        <v>15</v>
      </c>
      <c r="D145" s="314">
        <v>4760</v>
      </c>
      <c r="E145" s="313" t="s">
        <v>982</v>
      </c>
      <c r="F145" s="315" t="str">
        <f>IF(IF(A145="","",COUNTIF(CONSOLIDADO!$A:$A,$A145))=0,"REVISAR","OK")</f>
        <v>OK</v>
      </c>
    </row>
    <row r="146" spans="1:6" ht="11.45" customHeight="1" x14ac:dyDescent="0.2">
      <c r="A146" s="312" t="s">
        <v>1854</v>
      </c>
      <c r="B146" s="313" t="s">
        <v>1855</v>
      </c>
      <c r="C146" s="312" t="s">
        <v>15</v>
      </c>
      <c r="D146" s="314">
        <v>8000</v>
      </c>
      <c r="E146" s="313" t="s">
        <v>944</v>
      </c>
      <c r="F146" s="315" t="str">
        <f>IF(IF(A146="","",COUNTIF(CONSOLIDADO!$A:$A,$A146))=0,"REVISAR","OK")</f>
        <v>OK</v>
      </c>
    </row>
    <row r="147" spans="1:6" ht="11.45" customHeight="1" x14ac:dyDescent="0.2">
      <c r="A147" s="312" t="s">
        <v>687</v>
      </c>
      <c r="B147" s="313" t="s">
        <v>517</v>
      </c>
      <c r="C147" s="312" t="s">
        <v>942</v>
      </c>
      <c r="D147" s="314">
        <v>9520</v>
      </c>
      <c r="E147" s="313" t="s">
        <v>1115</v>
      </c>
      <c r="F147" s="315" t="str">
        <f>IF(IF(A147="","",COUNTIF(CONSOLIDADO!$A:$A,$A147))=0,"REVISAR","OK")</f>
        <v>OK</v>
      </c>
    </row>
    <row r="148" spans="1:6" ht="11.45" customHeight="1" x14ac:dyDescent="0.2">
      <c r="A148" s="312" t="s">
        <v>687</v>
      </c>
      <c r="B148" s="313" t="s">
        <v>517</v>
      </c>
      <c r="C148" s="312" t="s">
        <v>942</v>
      </c>
      <c r="D148" s="314">
        <v>11490</v>
      </c>
      <c r="E148" s="313" t="s">
        <v>948</v>
      </c>
      <c r="F148" s="315" t="str">
        <f>IF(IF(A148="","",COUNTIF(CONSOLIDADO!$A:$A,$A148))=0,"REVISAR","OK")</f>
        <v>OK</v>
      </c>
    </row>
    <row r="149" spans="1:6" ht="11.45" customHeight="1" x14ac:dyDescent="0.2">
      <c r="A149" s="312" t="s">
        <v>687</v>
      </c>
      <c r="B149" s="313" t="s">
        <v>517</v>
      </c>
      <c r="C149" s="312" t="s">
        <v>942</v>
      </c>
      <c r="D149" s="314">
        <v>12650</v>
      </c>
      <c r="E149" s="313" t="s">
        <v>948</v>
      </c>
      <c r="F149" s="315" t="str">
        <f>IF(IF(A149="","",COUNTIF(CONSOLIDADO!$A:$A,$A149))=0,"REVISAR","OK")</f>
        <v>OK</v>
      </c>
    </row>
    <row r="150" spans="1:6" ht="11.45" customHeight="1" x14ac:dyDescent="0.2">
      <c r="A150" s="312" t="s">
        <v>961</v>
      </c>
      <c r="B150" s="313" t="s">
        <v>962</v>
      </c>
      <c r="C150" s="312" t="s">
        <v>15</v>
      </c>
      <c r="D150" s="314">
        <v>20000</v>
      </c>
      <c r="E150" s="313" t="s">
        <v>943</v>
      </c>
      <c r="F150" s="315" t="str">
        <f>IF(IF(A150="","",COUNTIF(CONSOLIDADO!$A:$A,$A150))=0,"REVISAR","OK")</f>
        <v>OK</v>
      </c>
    </row>
    <row r="151" spans="1:6" ht="11.45" customHeight="1" x14ac:dyDescent="0.2">
      <c r="A151" s="312" t="s">
        <v>961</v>
      </c>
      <c r="B151" s="313" t="s">
        <v>962</v>
      </c>
      <c r="C151" s="312" t="s">
        <v>15</v>
      </c>
      <c r="D151" s="314">
        <v>27370</v>
      </c>
      <c r="E151" s="313" t="s">
        <v>982</v>
      </c>
      <c r="F151" s="315" t="str">
        <f>IF(IF(A151="","",COUNTIF(CONSOLIDADO!$A:$A,$A151))=0,"REVISAR","OK")</f>
        <v>OK</v>
      </c>
    </row>
    <row r="152" spans="1:6" ht="11.45" customHeight="1" x14ac:dyDescent="0.2">
      <c r="A152" s="312" t="s">
        <v>961</v>
      </c>
      <c r="B152" s="313" t="s">
        <v>962</v>
      </c>
      <c r="C152" s="312" t="s">
        <v>15</v>
      </c>
      <c r="D152" s="314">
        <v>48300</v>
      </c>
      <c r="E152" s="313" t="s">
        <v>944</v>
      </c>
      <c r="F152" s="315" t="str">
        <f>IF(IF(A152="","",COUNTIF(CONSOLIDADO!$A:$A,$A152))=0,"REVISAR","OK")</f>
        <v>OK</v>
      </c>
    </row>
    <row r="153" spans="1:6" ht="11.45" customHeight="1" x14ac:dyDescent="0.2">
      <c r="A153" s="312" t="s">
        <v>252</v>
      </c>
      <c r="B153" s="313" t="s">
        <v>251</v>
      </c>
      <c r="C153" s="312" t="s">
        <v>906</v>
      </c>
      <c r="D153" s="314">
        <v>8000</v>
      </c>
      <c r="E153" s="313" t="s">
        <v>974</v>
      </c>
      <c r="F153" s="315" t="str">
        <f>IF(IF(A153="","",COUNTIF(CONSOLIDADO!$A:$A,$A153))=0,"REVISAR","OK")</f>
        <v>OK</v>
      </c>
    </row>
    <row r="154" spans="1:6" ht="11.45" customHeight="1" x14ac:dyDescent="0.2">
      <c r="A154" s="312" t="s">
        <v>239</v>
      </c>
      <c r="B154" s="313" t="s">
        <v>238</v>
      </c>
      <c r="C154" s="312" t="s">
        <v>111</v>
      </c>
      <c r="D154" s="314">
        <v>595</v>
      </c>
      <c r="E154" s="313" t="s">
        <v>982</v>
      </c>
      <c r="F154" s="315" t="str">
        <f>IF(IF(A154="","",COUNTIF(CONSOLIDADO!$A:$A,$A154))=0,"REVISAR","OK")</f>
        <v>OK</v>
      </c>
    </row>
    <row r="155" spans="1:6" ht="11.45" customHeight="1" x14ac:dyDescent="0.2">
      <c r="A155" s="312" t="s">
        <v>699</v>
      </c>
      <c r="B155" s="313" t="s">
        <v>967</v>
      </c>
      <c r="C155" s="312" t="s">
        <v>942</v>
      </c>
      <c r="D155" s="314">
        <v>5105</v>
      </c>
      <c r="E155" s="313" t="s">
        <v>2146</v>
      </c>
      <c r="F155" s="315" t="str">
        <f>IF(IF(A155="","",COUNTIF(CONSOLIDADO!$A:$A,$A155))=0,"REVISAR","OK")</f>
        <v>OK</v>
      </c>
    </row>
    <row r="156" spans="1:6" ht="11.45" customHeight="1" x14ac:dyDescent="0.2">
      <c r="A156" s="312" t="s">
        <v>700</v>
      </c>
      <c r="B156" s="313" t="s">
        <v>968</v>
      </c>
      <c r="C156" s="312" t="s">
        <v>906</v>
      </c>
      <c r="D156" s="314">
        <v>1589</v>
      </c>
      <c r="E156" s="313" t="s">
        <v>945</v>
      </c>
      <c r="F156" s="315" t="str">
        <f>IF(IF(A156="","",COUNTIF(CONSOLIDADO!$A:$A,$A156))=0,"REVISAR","OK")</f>
        <v>OK</v>
      </c>
    </row>
    <row r="157" spans="1:6" ht="11.45" customHeight="1" x14ac:dyDescent="0.2">
      <c r="A157" s="312" t="s">
        <v>701</v>
      </c>
      <c r="B157" s="313" t="s">
        <v>456</v>
      </c>
      <c r="C157" s="312" t="s">
        <v>906</v>
      </c>
      <c r="D157" s="314">
        <v>2380</v>
      </c>
      <c r="E157" s="313" t="s">
        <v>939</v>
      </c>
      <c r="F157" s="315" t="str">
        <f>IF(IF(A157="","",COUNTIF(CONSOLIDADO!$A:$A,$A157))=0,"REVISAR","OK")</f>
        <v>OK</v>
      </c>
    </row>
    <row r="158" spans="1:6" ht="11.45" customHeight="1" x14ac:dyDescent="0.2">
      <c r="A158" s="312" t="s">
        <v>701</v>
      </c>
      <c r="B158" s="313" t="s">
        <v>456</v>
      </c>
      <c r="C158" s="312" t="s">
        <v>906</v>
      </c>
      <c r="D158" s="314">
        <v>2790</v>
      </c>
      <c r="E158" s="313" t="s">
        <v>944</v>
      </c>
      <c r="F158" s="315" t="str">
        <f>IF(IF(A158="","",COUNTIF(CONSOLIDADO!$A:$A,$A158))=0,"REVISAR","OK")</f>
        <v>OK</v>
      </c>
    </row>
    <row r="159" spans="1:6" ht="11.45" customHeight="1" x14ac:dyDescent="0.2">
      <c r="A159" s="312" t="s">
        <v>969</v>
      </c>
      <c r="B159" s="313" t="s">
        <v>970</v>
      </c>
      <c r="C159" s="312" t="s">
        <v>111</v>
      </c>
      <c r="D159" s="314">
        <v>340</v>
      </c>
      <c r="E159" s="313" t="s">
        <v>938</v>
      </c>
      <c r="F159" s="315" t="str">
        <f>IF(IF(A159="","",COUNTIF(CONSOLIDADO!$A:$A,$A159))=0,"REVISAR","OK")</f>
        <v>OK</v>
      </c>
    </row>
    <row r="160" spans="1:6" ht="11.45" customHeight="1" x14ac:dyDescent="0.2">
      <c r="A160" s="312" t="s">
        <v>969</v>
      </c>
      <c r="B160" s="313" t="s">
        <v>970</v>
      </c>
      <c r="C160" s="312" t="s">
        <v>111</v>
      </c>
      <c r="D160" s="314">
        <v>790</v>
      </c>
      <c r="E160" s="313" t="s">
        <v>945</v>
      </c>
      <c r="F160" s="315" t="str">
        <f>IF(IF(A160="","",COUNTIF(CONSOLIDADO!$A:$A,$A160))=0,"REVISAR","OK")</f>
        <v>OK</v>
      </c>
    </row>
    <row r="161" spans="1:6" ht="11.45" customHeight="1" x14ac:dyDescent="0.2">
      <c r="A161" s="312" t="s">
        <v>969</v>
      </c>
      <c r="B161" s="313" t="s">
        <v>970</v>
      </c>
      <c r="C161" s="312" t="s">
        <v>111</v>
      </c>
      <c r="D161" s="314">
        <v>987</v>
      </c>
      <c r="E161" s="313" t="s">
        <v>2176</v>
      </c>
      <c r="F161" s="315" t="str">
        <f>IF(IF(A161="","",COUNTIF(CONSOLIDADO!$A:$A,$A161))=0,"REVISAR","OK")</f>
        <v>OK</v>
      </c>
    </row>
    <row r="162" spans="1:6" ht="11.45" customHeight="1" x14ac:dyDescent="0.2">
      <c r="A162" s="312" t="s">
        <v>707</v>
      </c>
      <c r="B162" s="313" t="s">
        <v>489</v>
      </c>
      <c r="C162" s="312" t="s">
        <v>111</v>
      </c>
      <c r="D162" s="314">
        <v>229</v>
      </c>
      <c r="E162" s="313" t="s">
        <v>951</v>
      </c>
      <c r="F162" s="315" t="str">
        <f>IF(IF(A162="","",COUNTIF(CONSOLIDADO!$A:$A,$A162))=0,"REVISAR","OK")</f>
        <v>OK</v>
      </c>
    </row>
    <row r="163" spans="1:6" ht="11.45" customHeight="1" x14ac:dyDescent="0.2">
      <c r="A163" s="312" t="s">
        <v>707</v>
      </c>
      <c r="B163" s="313" t="s">
        <v>489</v>
      </c>
      <c r="C163" s="312" t="s">
        <v>111</v>
      </c>
      <c r="D163" s="314">
        <v>678</v>
      </c>
      <c r="E163" s="313" t="s">
        <v>946</v>
      </c>
      <c r="F163" s="315" t="str">
        <f>IF(IF(A163="","",COUNTIF(CONSOLIDADO!$A:$A,$A163))=0,"REVISAR","OK")</f>
        <v>OK</v>
      </c>
    </row>
    <row r="164" spans="1:6" ht="11.45" customHeight="1" x14ac:dyDescent="0.2">
      <c r="A164" s="312" t="s">
        <v>707</v>
      </c>
      <c r="B164" s="313" t="s">
        <v>489</v>
      </c>
      <c r="C164" s="312" t="s">
        <v>111</v>
      </c>
      <c r="D164" s="314">
        <v>1808</v>
      </c>
      <c r="E164" s="313" t="s">
        <v>946</v>
      </c>
      <c r="F164" s="315" t="str">
        <f>IF(IF(A164="","",COUNTIF(CONSOLIDADO!$A:$A,$A164))=0,"REVISAR","OK")</f>
        <v>OK</v>
      </c>
    </row>
    <row r="165" spans="1:6" ht="11.45" customHeight="1" x14ac:dyDescent="0.2">
      <c r="A165" s="312" t="s">
        <v>707</v>
      </c>
      <c r="B165" s="313" t="s">
        <v>489</v>
      </c>
      <c r="C165" s="312" t="s">
        <v>111</v>
      </c>
      <c r="D165" s="314">
        <v>2261</v>
      </c>
      <c r="E165" s="313" t="s">
        <v>936</v>
      </c>
      <c r="F165" s="315" t="str">
        <f>IF(IF(A165="","",COUNTIF(CONSOLIDADO!$A:$A,$A165))=0,"REVISAR","OK")</f>
        <v>OK</v>
      </c>
    </row>
    <row r="166" spans="1:6" ht="11.45" customHeight="1" x14ac:dyDescent="0.2">
      <c r="A166" s="312" t="s">
        <v>896</v>
      </c>
      <c r="B166" s="313" t="s">
        <v>392</v>
      </c>
      <c r="C166" s="312" t="s">
        <v>15</v>
      </c>
      <c r="D166" s="314">
        <v>5499</v>
      </c>
      <c r="E166" s="313" t="s">
        <v>937</v>
      </c>
      <c r="F166" s="315" t="str">
        <f>IF(IF(A166="","",COUNTIF(CONSOLIDADO!$A:$A,$A166))=0,"REVISAR","OK")</f>
        <v>OK</v>
      </c>
    </row>
    <row r="167" spans="1:6" ht="11.45" customHeight="1" x14ac:dyDescent="0.2">
      <c r="A167" s="312" t="s">
        <v>896</v>
      </c>
      <c r="B167" s="313" t="s">
        <v>392</v>
      </c>
      <c r="C167" s="312" t="s">
        <v>15</v>
      </c>
      <c r="D167" s="314">
        <v>8330</v>
      </c>
      <c r="E167" s="313" t="s">
        <v>949</v>
      </c>
      <c r="F167" s="315" t="str">
        <f>IF(IF(A167="","",COUNTIF(CONSOLIDADO!$A:$A,$A167))=0,"REVISAR","OK")</f>
        <v>OK</v>
      </c>
    </row>
    <row r="168" spans="1:6" ht="11.45" customHeight="1" x14ac:dyDescent="0.2">
      <c r="A168" s="312" t="s">
        <v>896</v>
      </c>
      <c r="B168" s="313" t="s">
        <v>392</v>
      </c>
      <c r="C168" s="312" t="s">
        <v>15</v>
      </c>
      <c r="D168" s="314">
        <v>9282</v>
      </c>
      <c r="E168" s="313" t="s">
        <v>946</v>
      </c>
      <c r="F168" s="315" t="str">
        <f>IF(IF(A168="","",COUNTIF(CONSOLIDADO!$A:$A,$A168))=0,"REVISAR","OK")</f>
        <v>OK</v>
      </c>
    </row>
    <row r="169" spans="1:6" ht="11.45" customHeight="1" x14ac:dyDescent="0.2">
      <c r="A169" s="312" t="s">
        <v>896</v>
      </c>
      <c r="B169" s="313" t="s">
        <v>392</v>
      </c>
      <c r="C169" s="312" t="s">
        <v>15</v>
      </c>
      <c r="D169" s="314">
        <v>10591</v>
      </c>
      <c r="E169" s="313" t="s">
        <v>2275</v>
      </c>
      <c r="F169" s="315" t="str">
        <f>IF(IF(A169="","",COUNTIF(CONSOLIDADO!$A:$A,$A169))=0,"REVISAR","OK")</f>
        <v>OK</v>
      </c>
    </row>
    <row r="170" spans="1:6" ht="11.45" customHeight="1" x14ac:dyDescent="0.2">
      <c r="A170" s="312" t="s">
        <v>2191</v>
      </c>
      <c r="B170" s="313" t="s">
        <v>2192</v>
      </c>
      <c r="C170" s="312" t="s">
        <v>15</v>
      </c>
      <c r="D170" s="314">
        <v>7735</v>
      </c>
      <c r="E170" s="313" t="s">
        <v>2275</v>
      </c>
      <c r="F170" s="315" t="str">
        <f>IF(IF(A170="","",COUNTIF(CONSOLIDADO!$A:$A,$A170))=0,"REVISAR","OK")</f>
        <v>OK</v>
      </c>
    </row>
    <row r="171" spans="1:6" ht="11.45" customHeight="1" x14ac:dyDescent="0.2">
      <c r="A171" s="312" t="s">
        <v>710</v>
      </c>
      <c r="B171" s="313" t="s">
        <v>237</v>
      </c>
      <c r="C171" s="312" t="s">
        <v>15</v>
      </c>
      <c r="D171" s="314">
        <v>3390</v>
      </c>
      <c r="E171" s="313" t="s">
        <v>943</v>
      </c>
      <c r="F171" s="315" t="str">
        <f>IF(IF(A171="","",COUNTIF(CONSOLIDADO!$A:$A,$A171))=0,"REVISAR","OK")</f>
        <v>OK</v>
      </c>
    </row>
    <row r="172" spans="1:6" ht="11.45" customHeight="1" x14ac:dyDescent="0.2">
      <c r="A172" s="312" t="s">
        <v>710</v>
      </c>
      <c r="B172" s="313" t="s">
        <v>237</v>
      </c>
      <c r="C172" s="312" t="s">
        <v>15</v>
      </c>
      <c r="D172" s="314">
        <v>3750</v>
      </c>
      <c r="E172" s="313" t="s">
        <v>2073</v>
      </c>
      <c r="F172" s="315" t="str">
        <f>IF(IF(A172="","",COUNTIF(CONSOLIDADO!$A:$A,$A172))=0,"REVISAR","OK")</f>
        <v>OK</v>
      </c>
    </row>
    <row r="173" spans="1:6" ht="11.45" customHeight="1" x14ac:dyDescent="0.2">
      <c r="A173" s="312" t="s">
        <v>710</v>
      </c>
      <c r="B173" s="313" t="s">
        <v>237</v>
      </c>
      <c r="C173" s="312" t="s">
        <v>15</v>
      </c>
      <c r="D173" s="314">
        <v>3808</v>
      </c>
      <c r="E173" s="313" t="s">
        <v>2146</v>
      </c>
      <c r="F173" s="315" t="str">
        <f>IF(IF(A173="","",COUNTIF(CONSOLIDADO!$A:$A,$A173))=0,"REVISAR","OK")</f>
        <v>OK</v>
      </c>
    </row>
    <row r="174" spans="1:6" ht="11.45" customHeight="1" x14ac:dyDescent="0.2">
      <c r="A174" s="312" t="s">
        <v>710</v>
      </c>
      <c r="B174" s="313" t="s">
        <v>237</v>
      </c>
      <c r="C174" s="312" t="s">
        <v>15</v>
      </c>
      <c r="D174" s="314">
        <v>3946</v>
      </c>
      <c r="E174" s="313" t="s">
        <v>2070</v>
      </c>
      <c r="F174" s="315" t="str">
        <f>IF(IF(A174="","",COUNTIF(CONSOLIDADO!$A:$A,$A174))=0,"REVISAR","OK")</f>
        <v>OK</v>
      </c>
    </row>
    <row r="175" spans="1:6" ht="11.45" customHeight="1" x14ac:dyDescent="0.2">
      <c r="A175" s="312" t="s">
        <v>710</v>
      </c>
      <c r="B175" s="313" t="s">
        <v>237</v>
      </c>
      <c r="C175" s="312" t="s">
        <v>15</v>
      </c>
      <c r="D175" s="314">
        <v>3946</v>
      </c>
      <c r="E175" s="313" t="s">
        <v>934</v>
      </c>
      <c r="F175" s="315" t="str">
        <f>IF(IF(A175="","",COUNTIF(CONSOLIDADO!$A:$A,$A175))=0,"REVISAR","OK")</f>
        <v>OK</v>
      </c>
    </row>
    <row r="176" spans="1:6" ht="11.45" customHeight="1" x14ac:dyDescent="0.2">
      <c r="A176" s="312" t="s">
        <v>710</v>
      </c>
      <c r="B176" s="313" t="s">
        <v>237</v>
      </c>
      <c r="C176" s="312" t="s">
        <v>15</v>
      </c>
      <c r="D176" s="314">
        <v>4046</v>
      </c>
      <c r="E176" s="313" t="s">
        <v>976</v>
      </c>
      <c r="F176" s="315" t="str">
        <f>IF(IF(A176="","",COUNTIF(CONSOLIDADO!$A:$A,$A176))=0,"REVISAR","OK")</f>
        <v>OK</v>
      </c>
    </row>
    <row r="177" spans="1:6" ht="11.45" customHeight="1" x14ac:dyDescent="0.2">
      <c r="A177" s="312" t="s">
        <v>710</v>
      </c>
      <c r="B177" s="313" t="s">
        <v>237</v>
      </c>
      <c r="C177" s="312" t="s">
        <v>15</v>
      </c>
      <c r="D177" s="314">
        <v>4046</v>
      </c>
      <c r="E177" s="313" t="s">
        <v>940</v>
      </c>
      <c r="F177" s="315" t="str">
        <f>IF(IF(A177="","",COUNTIF(CONSOLIDADO!$A:$A,$A177))=0,"REVISAR","OK")</f>
        <v>OK</v>
      </c>
    </row>
    <row r="178" spans="1:6" ht="11.45" customHeight="1" x14ac:dyDescent="0.2">
      <c r="A178" s="312" t="s">
        <v>710</v>
      </c>
      <c r="B178" s="313" t="s">
        <v>237</v>
      </c>
      <c r="C178" s="312" t="s">
        <v>15</v>
      </c>
      <c r="D178" s="314">
        <v>4046</v>
      </c>
      <c r="E178" s="313" t="s">
        <v>929</v>
      </c>
      <c r="F178" s="315" t="str">
        <f>IF(IF(A178="","",COUNTIF(CONSOLIDADO!$A:$A,$A178))=0,"REVISAR","OK")</f>
        <v>OK</v>
      </c>
    </row>
    <row r="179" spans="1:6" ht="11.45" customHeight="1" x14ac:dyDescent="0.2">
      <c r="A179" s="312" t="s">
        <v>710</v>
      </c>
      <c r="B179" s="313" t="s">
        <v>237</v>
      </c>
      <c r="C179" s="312" t="s">
        <v>15</v>
      </c>
      <c r="D179" s="314">
        <v>4046</v>
      </c>
      <c r="E179" s="313" t="s">
        <v>2258</v>
      </c>
      <c r="F179" s="315" t="str">
        <f>IF(IF(A179="","",COUNTIF(CONSOLIDADO!$A:$A,$A179))=0,"REVISAR","OK")</f>
        <v>OK</v>
      </c>
    </row>
    <row r="180" spans="1:6" ht="11.45" customHeight="1" x14ac:dyDescent="0.2">
      <c r="A180" s="312" t="s">
        <v>710</v>
      </c>
      <c r="B180" s="313" t="s">
        <v>237</v>
      </c>
      <c r="C180" s="312" t="s">
        <v>15</v>
      </c>
      <c r="D180" s="314">
        <v>4165</v>
      </c>
      <c r="E180" s="313" t="s">
        <v>982</v>
      </c>
      <c r="F180" s="315" t="str">
        <f>IF(IF(A180="","",COUNTIF(CONSOLIDADO!$A:$A,$A180))=0,"REVISAR","OK")</f>
        <v>OK</v>
      </c>
    </row>
    <row r="181" spans="1:6" ht="11.45" customHeight="1" x14ac:dyDescent="0.2">
      <c r="A181" s="312" t="s">
        <v>710</v>
      </c>
      <c r="B181" s="313" t="s">
        <v>237</v>
      </c>
      <c r="C181" s="312" t="s">
        <v>15</v>
      </c>
      <c r="D181" s="314">
        <v>4284</v>
      </c>
      <c r="E181" s="313" t="s">
        <v>939</v>
      </c>
      <c r="F181" s="315" t="str">
        <f>IF(IF(A181="","",COUNTIF(CONSOLIDADO!$A:$A,$A181))=0,"REVISAR","OK")</f>
        <v>OK</v>
      </c>
    </row>
    <row r="182" spans="1:6" ht="11.45" customHeight="1" x14ac:dyDescent="0.2">
      <c r="A182" s="312" t="s">
        <v>710</v>
      </c>
      <c r="B182" s="313" t="s">
        <v>237</v>
      </c>
      <c r="C182" s="312" t="s">
        <v>15</v>
      </c>
      <c r="D182" s="314">
        <v>4317</v>
      </c>
      <c r="E182" s="313" t="s">
        <v>933</v>
      </c>
      <c r="F182" s="315" t="str">
        <f>IF(IF(A182="","",COUNTIF(CONSOLIDADO!$A:$A,$A182))=0,"REVISAR","OK")</f>
        <v>OK</v>
      </c>
    </row>
    <row r="183" spans="1:6" ht="11.45" customHeight="1" x14ac:dyDescent="0.2">
      <c r="A183" s="312" t="s">
        <v>710</v>
      </c>
      <c r="B183" s="313" t="s">
        <v>237</v>
      </c>
      <c r="C183" s="312" t="s">
        <v>15</v>
      </c>
      <c r="D183" s="314">
        <v>4500</v>
      </c>
      <c r="E183" s="313" t="s">
        <v>2005</v>
      </c>
      <c r="F183" s="315" t="str">
        <f>IF(IF(A183="","",COUNTIF(CONSOLIDADO!$A:$A,$A183))=0,"REVISAR","OK")</f>
        <v>OK</v>
      </c>
    </row>
    <row r="184" spans="1:6" ht="11.45" customHeight="1" x14ac:dyDescent="0.2">
      <c r="A184" s="312" t="s">
        <v>710</v>
      </c>
      <c r="B184" s="313" t="s">
        <v>237</v>
      </c>
      <c r="C184" s="312" t="s">
        <v>15</v>
      </c>
      <c r="D184" s="314">
        <v>4581</v>
      </c>
      <c r="E184" s="313" t="s">
        <v>929</v>
      </c>
      <c r="F184" s="315" t="str">
        <f>IF(IF(A184="","",COUNTIF(CONSOLIDADO!$A:$A,$A184))=0,"REVISAR","OK")</f>
        <v>OK</v>
      </c>
    </row>
    <row r="185" spans="1:6" ht="11.45" customHeight="1" x14ac:dyDescent="0.2">
      <c r="A185" s="312" t="s">
        <v>710</v>
      </c>
      <c r="B185" s="313" t="s">
        <v>237</v>
      </c>
      <c r="C185" s="312" t="s">
        <v>15</v>
      </c>
      <c r="D185" s="314">
        <v>4732</v>
      </c>
      <c r="E185" s="313" t="s">
        <v>935</v>
      </c>
      <c r="F185" s="315" t="str">
        <f>IF(IF(A185="","",COUNTIF(CONSOLIDADO!$A:$A,$A185))=0,"REVISAR","OK")</f>
        <v>OK</v>
      </c>
    </row>
    <row r="186" spans="1:6" ht="11.45" customHeight="1" x14ac:dyDescent="0.2">
      <c r="A186" s="312" t="s">
        <v>710</v>
      </c>
      <c r="B186" s="313" t="s">
        <v>237</v>
      </c>
      <c r="C186" s="312" t="s">
        <v>15</v>
      </c>
      <c r="D186" s="314">
        <v>4998</v>
      </c>
      <c r="E186" s="313" t="s">
        <v>2275</v>
      </c>
      <c r="F186" s="315" t="str">
        <f>IF(IF(A186="","",COUNTIF(CONSOLIDADO!$A:$A,$A186))=0,"REVISAR","OK")</f>
        <v>OK</v>
      </c>
    </row>
    <row r="187" spans="1:6" ht="11.45" customHeight="1" x14ac:dyDescent="0.2">
      <c r="A187" s="312" t="s">
        <v>710</v>
      </c>
      <c r="B187" s="313" t="s">
        <v>237</v>
      </c>
      <c r="C187" s="312" t="s">
        <v>15</v>
      </c>
      <c r="D187" s="314">
        <v>5015</v>
      </c>
      <c r="E187" s="313" t="s">
        <v>949</v>
      </c>
      <c r="F187" s="315" t="str">
        <f>IF(IF(A187="","",COUNTIF(CONSOLIDADO!$A:$A,$A187))=0,"REVISAR","OK")</f>
        <v>OK</v>
      </c>
    </row>
    <row r="188" spans="1:6" ht="11.45" customHeight="1" x14ac:dyDescent="0.2">
      <c r="A188" s="312" t="s">
        <v>710</v>
      </c>
      <c r="B188" s="313" t="s">
        <v>237</v>
      </c>
      <c r="C188" s="312" t="s">
        <v>15</v>
      </c>
      <c r="D188" s="314">
        <v>5190</v>
      </c>
      <c r="E188" s="313" t="s">
        <v>930</v>
      </c>
      <c r="F188" s="315" t="str">
        <f>IF(IF(A188="","",COUNTIF(CONSOLIDADO!$A:$A,$A188))=0,"REVISAR","OK")</f>
        <v>OK</v>
      </c>
    </row>
    <row r="189" spans="1:6" ht="11.45" customHeight="1" x14ac:dyDescent="0.2">
      <c r="A189" s="312" t="s">
        <v>710</v>
      </c>
      <c r="B189" s="313" t="s">
        <v>237</v>
      </c>
      <c r="C189" s="312" t="s">
        <v>15</v>
      </c>
      <c r="D189" s="314">
        <v>5244</v>
      </c>
      <c r="E189" s="313" t="s">
        <v>936</v>
      </c>
      <c r="F189" s="315" t="str">
        <f>IF(IF(A189="","",COUNTIF(CONSOLIDADO!$A:$A,$A189))=0,"REVISAR","OK")</f>
        <v>OK</v>
      </c>
    </row>
    <row r="190" spans="1:6" ht="11.45" customHeight="1" x14ac:dyDescent="0.2">
      <c r="A190" s="312" t="s">
        <v>710</v>
      </c>
      <c r="B190" s="313" t="s">
        <v>237</v>
      </c>
      <c r="C190" s="312" t="s">
        <v>15</v>
      </c>
      <c r="D190" s="314">
        <v>5390</v>
      </c>
      <c r="E190" s="313" t="s">
        <v>934</v>
      </c>
      <c r="F190" s="315" t="str">
        <f>IF(IF(A190="","",COUNTIF(CONSOLIDADO!$A:$A,$A190))=0,"REVISAR","OK")</f>
        <v>OK</v>
      </c>
    </row>
    <row r="191" spans="1:6" ht="11.45" customHeight="1" x14ac:dyDescent="0.2">
      <c r="A191" s="312" t="s">
        <v>1286</v>
      </c>
      <c r="B191" s="313" t="s">
        <v>1287</v>
      </c>
      <c r="C191" s="312" t="s">
        <v>15</v>
      </c>
      <c r="D191" s="314">
        <v>3451</v>
      </c>
      <c r="E191" s="313" t="s">
        <v>946</v>
      </c>
      <c r="F191" s="315" t="str">
        <f>IF(IF(A191="","",COUNTIF(CONSOLIDADO!$A:$A,$A191))=0,"REVISAR","OK")</f>
        <v>OK</v>
      </c>
    </row>
    <row r="192" spans="1:6" ht="11.45" customHeight="1" x14ac:dyDescent="0.2">
      <c r="A192" s="312" t="s">
        <v>975</v>
      </c>
      <c r="B192" s="313" t="s">
        <v>218</v>
      </c>
      <c r="C192" s="312" t="s">
        <v>202</v>
      </c>
      <c r="D192" s="314">
        <v>349</v>
      </c>
      <c r="E192" s="313" t="s">
        <v>945</v>
      </c>
      <c r="F192" s="315" t="str">
        <f>IF(IF(A192="","",COUNTIF(CONSOLIDADO!$A:$A,$A192))=0,"REVISAR","OK")</f>
        <v>OK</v>
      </c>
    </row>
    <row r="193" spans="1:6" ht="11.45" customHeight="1" x14ac:dyDescent="0.2">
      <c r="A193" s="312" t="s">
        <v>975</v>
      </c>
      <c r="B193" s="313" t="s">
        <v>218</v>
      </c>
      <c r="C193" s="312" t="s">
        <v>202</v>
      </c>
      <c r="D193" s="314">
        <v>725</v>
      </c>
      <c r="E193" s="313" t="s">
        <v>2258</v>
      </c>
      <c r="F193" s="315" t="str">
        <f>IF(IF(A193="","",COUNTIF(CONSOLIDADO!$A:$A,$A193))=0,"REVISAR","OK")</f>
        <v>OK</v>
      </c>
    </row>
    <row r="194" spans="1:6" ht="11.45" customHeight="1" x14ac:dyDescent="0.2">
      <c r="A194" s="312" t="s">
        <v>711</v>
      </c>
      <c r="B194" s="313" t="s">
        <v>368</v>
      </c>
      <c r="C194" s="312" t="s">
        <v>202</v>
      </c>
      <c r="D194" s="314">
        <v>500</v>
      </c>
      <c r="E194" s="313" t="s">
        <v>2073</v>
      </c>
      <c r="F194" s="315" t="str">
        <f>IF(IF(A194="","",COUNTIF(CONSOLIDADO!$A:$A,$A194))=0,"REVISAR","OK")</f>
        <v>OK</v>
      </c>
    </row>
    <row r="195" spans="1:6" ht="11.45" customHeight="1" x14ac:dyDescent="0.2">
      <c r="A195" s="312" t="s">
        <v>711</v>
      </c>
      <c r="B195" s="313" t="s">
        <v>368</v>
      </c>
      <c r="C195" s="312" t="s">
        <v>202</v>
      </c>
      <c r="D195" s="314">
        <v>500</v>
      </c>
      <c r="E195" s="313" t="s">
        <v>2211</v>
      </c>
      <c r="F195" s="315" t="str">
        <f>IF(IF(A195="","",COUNTIF(CONSOLIDADO!$A:$A,$A195))=0,"REVISAR","OK")</f>
        <v>OK</v>
      </c>
    </row>
    <row r="196" spans="1:6" ht="11.45" customHeight="1" x14ac:dyDescent="0.2">
      <c r="A196" s="312" t="s">
        <v>711</v>
      </c>
      <c r="B196" s="313" t="s">
        <v>368</v>
      </c>
      <c r="C196" s="312" t="s">
        <v>202</v>
      </c>
      <c r="D196" s="314">
        <v>500</v>
      </c>
      <c r="E196" s="313" t="s">
        <v>2329</v>
      </c>
      <c r="F196" s="315" t="str">
        <f>IF(IF(A196="","",COUNTIF(CONSOLIDADO!$A:$A,$A196))=0,"REVISAR","OK")</f>
        <v>OK</v>
      </c>
    </row>
    <row r="197" spans="1:6" ht="11.45" customHeight="1" x14ac:dyDescent="0.2">
      <c r="A197" s="312" t="s">
        <v>711</v>
      </c>
      <c r="B197" s="313" t="s">
        <v>368</v>
      </c>
      <c r="C197" s="312" t="s">
        <v>202</v>
      </c>
      <c r="D197" s="314">
        <v>595</v>
      </c>
      <c r="E197" s="313" t="s">
        <v>2233</v>
      </c>
      <c r="F197" s="315" t="str">
        <f>IF(IF(A197="","",COUNTIF(CONSOLIDADO!$A:$A,$A197))=0,"REVISAR","OK")</f>
        <v>OK</v>
      </c>
    </row>
    <row r="198" spans="1:6" ht="11.45" customHeight="1" x14ac:dyDescent="0.2">
      <c r="A198" s="312" t="s">
        <v>711</v>
      </c>
      <c r="B198" s="313" t="s">
        <v>368</v>
      </c>
      <c r="C198" s="312" t="s">
        <v>202</v>
      </c>
      <c r="D198" s="314">
        <v>654</v>
      </c>
      <c r="E198" s="313" t="s">
        <v>939</v>
      </c>
      <c r="F198" s="315" t="str">
        <f>IF(IF(A198="","",COUNTIF(CONSOLIDADO!$A:$A,$A198))=0,"REVISAR","OK")</f>
        <v>OK</v>
      </c>
    </row>
    <row r="199" spans="1:6" ht="11.45" customHeight="1" x14ac:dyDescent="0.2">
      <c r="A199" s="312" t="s">
        <v>711</v>
      </c>
      <c r="B199" s="313" t="s">
        <v>368</v>
      </c>
      <c r="C199" s="312" t="s">
        <v>202</v>
      </c>
      <c r="D199" s="314">
        <v>654</v>
      </c>
      <c r="E199" s="313" t="s">
        <v>2176</v>
      </c>
      <c r="F199" s="315" t="str">
        <f>IF(IF(A199="","",COUNTIF(CONSOLIDADO!$A:$A,$A199))=0,"REVISAR","OK")</f>
        <v>OK</v>
      </c>
    </row>
    <row r="200" spans="1:6" ht="11.45" customHeight="1" x14ac:dyDescent="0.2">
      <c r="A200" s="312" t="s">
        <v>711</v>
      </c>
      <c r="B200" s="313" t="s">
        <v>368</v>
      </c>
      <c r="C200" s="312" t="s">
        <v>202</v>
      </c>
      <c r="D200" s="314">
        <v>654</v>
      </c>
      <c r="E200" s="313" t="s">
        <v>982</v>
      </c>
      <c r="F200" s="315" t="str">
        <f>IF(IF(A200="","",COUNTIF(CONSOLIDADO!$A:$A,$A200))=0,"REVISAR","OK")</f>
        <v>OK</v>
      </c>
    </row>
    <row r="201" spans="1:6" ht="11.45" customHeight="1" x14ac:dyDescent="0.2">
      <c r="A201" s="312" t="s">
        <v>711</v>
      </c>
      <c r="B201" s="313" t="s">
        <v>368</v>
      </c>
      <c r="C201" s="312" t="s">
        <v>202</v>
      </c>
      <c r="D201" s="314">
        <v>667</v>
      </c>
      <c r="E201" s="313" t="s">
        <v>944</v>
      </c>
      <c r="F201" s="315" t="str">
        <f>IF(IF(A201="","",COUNTIF(CONSOLIDADO!$A:$A,$A201))=0,"REVISAR","OK")</f>
        <v>OK</v>
      </c>
    </row>
    <row r="202" spans="1:6" ht="11.45" customHeight="1" x14ac:dyDescent="0.2">
      <c r="A202" s="312" t="s">
        <v>711</v>
      </c>
      <c r="B202" s="313" t="s">
        <v>368</v>
      </c>
      <c r="C202" s="312" t="s">
        <v>202</v>
      </c>
      <c r="D202" s="314">
        <v>700</v>
      </c>
      <c r="E202" s="313" t="s">
        <v>938</v>
      </c>
      <c r="F202" s="315" t="str">
        <f>IF(IF(A202="","",COUNTIF(CONSOLIDADO!$A:$A,$A202))=0,"REVISAR","OK")</f>
        <v>OK</v>
      </c>
    </row>
    <row r="203" spans="1:6" ht="11.45" customHeight="1" x14ac:dyDescent="0.2">
      <c r="A203" s="312" t="s">
        <v>711</v>
      </c>
      <c r="B203" s="313" t="s">
        <v>368</v>
      </c>
      <c r="C203" s="312" t="s">
        <v>202</v>
      </c>
      <c r="D203" s="314">
        <v>714</v>
      </c>
      <c r="E203" s="313" t="s">
        <v>1115</v>
      </c>
      <c r="F203" s="315" t="str">
        <f>IF(IF(A203="","",COUNTIF(CONSOLIDADO!$A:$A,$A203))=0,"REVISAR","OK")</f>
        <v>OK</v>
      </c>
    </row>
    <row r="204" spans="1:6" ht="11.45" customHeight="1" x14ac:dyDescent="0.2">
      <c r="A204" s="312" t="s">
        <v>711</v>
      </c>
      <c r="B204" s="313" t="s">
        <v>368</v>
      </c>
      <c r="C204" s="312" t="s">
        <v>202</v>
      </c>
      <c r="D204" s="314">
        <v>725</v>
      </c>
      <c r="E204" s="313" t="s">
        <v>2258</v>
      </c>
      <c r="F204" s="315" t="str">
        <f>IF(IF(A204="","",COUNTIF(CONSOLIDADO!$A:$A,$A204))=0,"REVISAR","OK")</f>
        <v>OK</v>
      </c>
    </row>
    <row r="205" spans="1:6" ht="11.45" customHeight="1" x14ac:dyDescent="0.2">
      <c r="A205" s="312" t="s">
        <v>711</v>
      </c>
      <c r="B205" s="313" t="s">
        <v>368</v>
      </c>
      <c r="C205" s="312" t="s">
        <v>202</v>
      </c>
      <c r="D205" s="314">
        <v>789</v>
      </c>
      <c r="E205" s="313" t="s">
        <v>945</v>
      </c>
      <c r="F205" s="315" t="str">
        <f>IF(IF(A205="","",COUNTIF(CONSOLIDADO!$A:$A,$A205))=0,"REVISAR","OK")</f>
        <v>OK</v>
      </c>
    </row>
    <row r="206" spans="1:6" ht="11.45" customHeight="1" x14ac:dyDescent="0.2">
      <c r="A206" s="312" t="s">
        <v>711</v>
      </c>
      <c r="B206" s="313" t="s">
        <v>368</v>
      </c>
      <c r="C206" s="312" t="s">
        <v>202</v>
      </c>
      <c r="D206" s="314">
        <v>789</v>
      </c>
      <c r="E206" s="313" t="s">
        <v>945</v>
      </c>
      <c r="F206" s="315" t="str">
        <f>IF(IF(A206="","",COUNTIF(CONSOLIDADO!$A:$A,$A206))=0,"REVISAR","OK")</f>
        <v>OK</v>
      </c>
    </row>
    <row r="207" spans="1:6" ht="11.45" customHeight="1" x14ac:dyDescent="0.2">
      <c r="A207" s="312" t="s">
        <v>711</v>
      </c>
      <c r="B207" s="313" t="s">
        <v>368</v>
      </c>
      <c r="C207" s="312" t="s">
        <v>202</v>
      </c>
      <c r="D207" s="314">
        <v>790</v>
      </c>
      <c r="E207" s="313" t="s">
        <v>945</v>
      </c>
      <c r="F207" s="315" t="str">
        <f>IF(IF(A207="","",COUNTIF(CONSOLIDADO!$A:$A,$A207))=0,"REVISAR","OK")</f>
        <v>OK</v>
      </c>
    </row>
    <row r="208" spans="1:6" ht="11.45" customHeight="1" x14ac:dyDescent="0.2">
      <c r="A208" s="312" t="s">
        <v>711</v>
      </c>
      <c r="B208" s="313" t="s">
        <v>368</v>
      </c>
      <c r="C208" s="312" t="s">
        <v>202</v>
      </c>
      <c r="D208" s="314">
        <v>800</v>
      </c>
      <c r="E208" s="313" t="s">
        <v>938</v>
      </c>
      <c r="F208" s="315" t="str">
        <f>IF(IF(A208="","",COUNTIF(CONSOLIDADO!$A:$A,$A208))=0,"REVISAR","OK")</f>
        <v>OK</v>
      </c>
    </row>
    <row r="209" spans="1:6" ht="11.45" customHeight="1" x14ac:dyDescent="0.2">
      <c r="A209" s="312" t="s">
        <v>711</v>
      </c>
      <c r="B209" s="313" t="s">
        <v>368</v>
      </c>
      <c r="C209" s="312" t="s">
        <v>202</v>
      </c>
      <c r="D209" s="314">
        <v>800</v>
      </c>
      <c r="E209" s="313" t="s">
        <v>940</v>
      </c>
      <c r="F209" s="315" t="str">
        <f>IF(IF(A209="","",COUNTIF(CONSOLIDADO!$A:$A,$A209))=0,"REVISAR","OK")</f>
        <v>OK</v>
      </c>
    </row>
    <row r="210" spans="1:6" ht="11.45" customHeight="1" x14ac:dyDescent="0.2">
      <c r="A210" s="312" t="s">
        <v>711</v>
      </c>
      <c r="B210" s="313" t="s">
        <v>368</v>
      </c>
      <c r="C210" s="312" t="s">
        <v>202</v>
      </c>
      <c r="D210" s="314">
        <v>800</v>
      </c>
      <c r="E210" s="313" t="s">
        <v>2210</v>
      </c>
      <c r="F210" s="315" t="str">
        <f>IF(IF(A210="","",COUNTIF(CONSOLIDADO!$A:$A,$A210))=0,"REVISAR","OK")</f>
        <v>OK</v>
      </c>
    </row>
    <row r="211" spans="1:6" ht="11.45" customHeight="1" x14ac:dyDescent="0.2">
      <c r="A211" s="312" t="s">
        <v>711</v>
      </c>
      <c r="B211" s="313" t="s">
        <v>368</v>
      </c>
      <c r="C211" s="312" t="s">
        <v>202</v>
      </c>
      <c r="D211" s="314">
        <v>800</v>
      </c>
      <c r="E211" s="313" t="s">
        <v>976</v>
      </c>
      <c r="F211" s="315" t="str">
        <f>IF(IF(A211="","",COUNTIF(CONSOLIDADO!$A:$A,$A211))=0,"REVISAR","OK")</f>
        <v>OK</v>
      </c>
    </row>
    <row r="212" spans="1:6" ht="11.45" customHeight="1" x14ac:dyDescent="0.2">
      <c r="A212" s="312" t="s">
        <v>711</v>
      </c>
      <c r="B212" s="313" t="s">
        <v>368</v>
      </c>
      <c r="C212" s="312" t="s">
        <v>202</v>
      </c>
      <c r="D212" s="314">
        <v>800</v>
      </c>
      <c r="E212" s="313" t="s">
        <v>974</v>
      </c>
      <c r="F212" s="315" t="str">
        <f>IF(IF(A212="","",COUNTIF(CONSOLIDADO!$A:$A,$A212))=0,"REVISAR","OK")</f>
        <v>OK</v>
      </c>
    </row>
    <row r="213" spans="1:6" ht="11.45" customHeight="1" x14ac:dyDescent="0.2">
      <c r="A213" s="312" t="s">
        <v>711</v>
      </c>
      <c r="B213" s="313" t="s">
        <v>368</v>
      </c>
      <c r="C213" s="312" t="s">
        <v>202</v>
      </c>
      <c r="D213" s="314">
        <v>833</v>
      </c>
      <c r="E213" s="313" t="s">
        <v>982</v>
      </c>
      <c r="F213" s="315" t="str">
        <f>IF(IF(A213="","",COUNTIF(CONSOLIDADO!$A:$A,$A213))=0,"REVISAR","OK")</f>
        <v>OK</v>
      </c>
    </row>
    <row r="214" spans="1:6" ht="11.45" customHeight="1" x14ac:dyDescent="0.2">
      <c r="A214" s="312" t="s">
        <v>711</v>
      </c>
      <c r="B214" s="313" t="s">
        <v>368</v>
      </c>
      <c r="C214" s="312" t="s">
        <v>202</v>
      </c>
      <c r="D214" s="314">
        <v>952</v>
      </c>
      <c r="E214" s="313" t="s">
        <v>2258</v>
      </c>
      <c r="F214" s="315" t="str">
        <f>IF(IF(A214="","",COUNTIF(CONSOLIDADO!$A:$A,$A214))=0,"REVISAR","OK")</f>
        <v>OK</v>
      </c>
    </row>
    <row r="215" spans="1:6" ht="11.45" customHeight="1" x14ac:dyDescent="0.2">
      <c r="A215" s="312" t="s">
        <v>711</v>
      </c>
      <c r="B215" s="313" t="s">
        <v>368</v>
      </c>
      <c r="C215" s="312" t="s">
        <v>202</v>
      </c>
      <c r="D215" s="314">
        <v>1000</v>
      </c>
      <c r="E215" s="313" t="s">
        <v>939</v>
      </c>
      <c r="F215" s="315" t="str">
        <f>IF(IF(A215="","",COUNTIF(CONSOLIDADO!$A:$A,$A215))=0,"REVISAR","OK")</f>
        <v>OK</v>
      </c>
    </row>
    <row r="216" spans="1:6" ht="11.45" customHeight="1" x14ac:dyDescent="0.2">
      <c r="A216" s="312" t="s">
        <v>711</v>
      </c>
      <c r="B216" s="313" t="s">
        <v>368</v>
      </c>
      <c r="C216" s="312" t="s">
        <v>202</v>
      </c>
      <c r="D216" s="314">
        <v>1000</v>
      </c>
      <c r="E216" s="313" t="s">
        <v>938</v>
      </c>
      <c r="F216" s="315" t="str">
        <f>IF(IF(A216="","",COUNTIF(CONSOLIDADO!$A:$A,$A216))=0,"REVISAR","OK")</f>
        <v>OK</v>
      </c>
    </row>
    <row r="217" spans="1:6" ht="11.45" customHeight="1" x14ac:dyDescent="0.2">
      <c r="A217" s="312" t="s">
        <v>711</v>
      </c>
      <c r="B217" s="313" t="s">
        <v>368</v>
      </c>
      <c r="C217" s="312" t="s">
        <v>202</v>
      </c>
      <c r="D217" s="314">
        <v>1071</v>
      </c>
      <c r="E217" s="313" t="s">
        <v>939</v>
      </c>
      <c r="F217" s="315" t="str">
        <f>IF(IF(A217="","",COUNTIF(CONSOLIDADO!$A:$A,$A217))=0,"REVISAR","OK")</f>
        <v>OK</v>
      </c>
    </row>
    <row r="218" spans="1:6" ht="11.45" customHeight="1" x14ac:dyDescent="0.2">
      <c r="A218" s="312" t="s">
        <v>711</v>
      </c>
      <c r="B218" s="313" t="s">
        <v>368</v>
      </c>
      <c r="C218" s="312" t="s">
        <v>202</v>
      </c>
      <c r="D218" s="314">
        <v>1079</v>
      </c>
      <c r="E218" s="313" t="s">
        <v>948</v>
      </c>
      <c r="F218" s="315" t="str">
        <f>IF(IF(A218="","",COUNTIF(CONSOLIDADO!$A:$A,$A218))=0,"REVISAR","OK")</f>
        <v>OK</v>
      </c>
    </row>
    <row r="219" spans="1:6" ht="11.45" customHeight="1" x14ac:dyDescent="0.2">
      <c r="A219" s="312" t="s">
        <v>711</v>
      </c>
      <c r="B219" s="313" t="s">
        <v>368</v>
      </c>
      <c r="C219" s="312" t="s">
        <v>202</v>
      </c>
      <c r="D219" s="314">
        <v>1080</v>
      </c>
      <c r="E219" s="313" t="s">
        <v>2238</v>
      </c>
      <c r="F219" s="315" t="str">
        <f>IF(IF(A219="","",COUNTIF(CONSOLIDADO!$A:$A,$A219))=0,"REVISAR","OK")</f>
        <v>OK</v>
      </c>
    </row>
    <row r="220" spans="1:6" ht="11.45" customHeight="1" x14ac:dyDescent="0.2">
      <c r="A220" s="312" t="s">
        <v>711</v>
      </c>
      <c r="B220" s="313" t="s">
        <v>368</v>
      </c>
      <c r="C220" s="312" t="s">
        <v>202</v>
      </c>
      <c r="D220" s="314">
        <v>1083</v>
      </c>
      <c r="E220" s="313" t="s">
        <v>943</v>
      </c>
      <c r="F220" s="315" t="str">
        <f>IF(IF(A220="","",COUNTIF(CONSOLIDADO!$A:$A,$A220))=0,"REVISAR","OK")</f>
        <v>OK</v>
      </c>
    </row>
    <row r="221" spans="1:6" ht="11.45" customHeight="1" x14ac:dyDescent="0.2">
      <c r="A221" s="312" t="s">
        <v>711</v>
      </c>
      <c r="B221" s="313" t="s">
        <v>368</v>
      </c>
      <c r="C221" s="312" t="s">
        <v>202</v>
      </c>
      <c r="D221" s="314">
        <v>1083</v>
      </c>
      <c r="E221" s="313" t="s">
        <v>934</v>
      </c>
      <c r="F221" s="315" t="str">
        <f>IF(IF(A221="","",COUNTIF(CONSOLIDADO!$A:$A,$A221))=0,"REVISAR","OK")</f>
        <v>OK</v>
      </c>
    </row>
    <row r="222" spans="1:6" ht="11.45" customHeight="1" x14ac:dyDescent="0.2">
      <c r="A222" s="312" t="s">
        <v>711</v>
      </c>
      <c r="B222" s="313" t="s">
        <v>368</v>
      </c>
      <c r="C222" s="312" t="s">
        <v>202</v>
      </c>
      <c r="D222" s="314">
        <v>1084</v>
      </c>
      <c r="E222" s="313" t="s">
        <v>2238</v>
      </c>
      <c r="F222" s="315" t="str">
        <f>IF(IF(A222="","",COUNTIF(CONSOLIDADO!$A:$A,$A222))=0,"REVISAR","OK")</f>
        <v>OK</v>
      </c>
    </row>
    <row r="223" spans="1:6" ht="11.45" customHeight="1" x14ac:dyDescent="0.2">
      <c r="A223" s="312" t="s">
        <v>711</v>
      </c>
      <c r="B223" s="313" t="s">
        <v>368</v>
      </c>
      <c r="C223" s="312" t="s">
        <v>202</v>
      </c>
      <c r="D223" s="314">
        <v>1084</v>
      </c>
      <c r="E223" s="313" t="s">
        <v>935</v>
      </c>
      <c r="F223" s="315" t="str">
        <f>IF(IF(A223="","",COUNTIF(CONSOLIDADO!$A:$A,$A223))=0,"REVISAR","OK")</f>
        <v>OK</v>
      </c>
    </row>
    <row r="224" spans="1:6" ht="11.45" customHeight="1" x14ac:dyDescent="0.2">
      <c r="A224" s="312" t="s">
        <v>711</v>
      </c>
      <c r="B224" s="313" t="s">
        <v>368</v>
      </c>
      <c r="C224" s="312" t="s">
        <v>202</v>
      </c>
      <c r="D224" s="314">
        <v>1084</v>
      </c>
      <c r="E224" s="313" t="s">
        <v>2238</v>
      </c>
      <c r="F224" s="315" t="str">
        <f>IF(IF(A224="","",COUNTIF(CONSOLIDADO!$A:$A,$A224))=0,"REVISAR","OK")</f>
        <v>OK</v>
      </c>
    </row>
    <row r="225" spans="1:6" ht="11.45" customHeight="1" x14ac:dyDescent="0.2">
      <c r="A225" s="312" t="s">
        <v>711</v>
      </c>
      <c r="B225" s="313" t="s">
        <v>368</v>
      </c>
      <c r="C225" s="312" t="s">
        <v>202</v>
      </c>
      <c r="D225" s="314">
        <v>1084</v>
      </c>
      <c r="E225" s="313" t="s">
        <v>948</v>
      </c>
      <c r="F225" s="315" t="str">
        <f>IF(IF(A225="","",COUNTIF(CONSOLIDADO!$A:$A,$A225))=0,"REVISAR","OK")</f>
        <v>OK</v>
      </c>
    </row>
    <row r="226" spans="1:6" ht="11.45" customHeight="1" x14ac:dyDescent="0.2">
      <c r="A226" s="312" t="s">
        <v>711</v>
      </c>
      <c r="B226" s="313" t="s">
        <v>368</v>
      </c>
      <c r="C226" s="312" t="s">
        <v>202</v>
      </c>
      <c r="D226" s="314">
        <v>1084</v>
      </c>
      <c r="E226" s="313" t="s">
        <v>2070</v>
      </c>
      <c r="F226" s="315" t="str">
        <f>IF(IF(A226="","",COUNTIF(CONSOLIDADO!$A:$A,$A226))=0,"REVISAR","OK")</f>
        <v>OK</v>
      </c>
    </row>
    <row r="227" spans="1:6" ht="11.45" customHeight="1" x14ac:dyDescent="0.2">
      <c r="A227" s="312" t="s">
        <v>711</v>
      </c>
      <c r="B227" s="313" t="s">
        <v>368</v>
      </c>
      <c r="C227" s="312" t="s">
        <v>202</v>
      </c>
      <c r="D227" s="314">
        <v>1088</v>
      </c>
      <c r="E227" s="313" t="s">
        <v>950</v>
      </c>
      <c r="F227" s="315" t="str">
        <f>IF(IF(A227="","",COUNTIF(CONSOLIDADO!$A:$A,$A227))=0,"REVISAR","OK")</f>
        <v>OK</v>
      </c>
    </row>
    <row r="228" spans="1:6" ht="11.45" customHeight="1" x14ac:dyDescent="0.2">
      <c r="A228" s="312" t="s">
        <v>711</v>
      </c>
      <c r="B228" s="313" t="s">
        <v>368</v>
      </c>
      <c r="C228" s="312" t="s">
        <v>202</v>
      </c>
      <c r="D228" s="314">
        <v>1088</v>
      </c>
      <c r="E228" s="313" t="s">
        <v>937</v>
      </c>
      <c r="F228" s="315" t="str">
        <f>IF(IF(A228="","",COUNTIF(CONSOLIDADO!$A:$A,$A228))=0,"REVISAR","OK")</f>
        <v>OK</v>
      </c>
    </row>
    <row r="229" spans="1:6" ht="11.45" customHeight="1" x14ac:dyDescent="0.2">
      <c r="A229" s="312" t="s">
        <v>711</v>
      </c>
      <c r="B229" s="313" t="s">
        <v>368</v>
      </c>
      <c r="C229" s="312" t="s">
        <v>202</v>
      </c>
      <c r="D229" s="314">
        <v>1142</v>
      </c>
      <c r="E229" s="313" t="s">
        <v>999</v>
      </c>
      <c r="F229" s="315" t="str">
        <f>IF(IF(A229="","",COUNTIF(CONSOLIDADO!$A:$A,$A229))=0,"REVISAR","OK")</f>
        <v>OK</v>
      </c>
    </row>
    <row r="230" spans="1:6" ht="11.45" customHeight="1" x14ac:dyDescent="0.2">
      <c r="A230" s="312" t="s">
        <v>711</v>
      </c>
      <c r="B230" s="313" t="s">
        <v>368</v>
      </c>
      <c r="C230" s="312" t="s">
        <v>202</v>
      </c>
      <c r="D230" s="314">
        <v>1200</v>
      </c>
      <c r="E230" s="313" t="s">
        <v>938</v>
      </c>
      <c r="F230" s="315" t="str">
        <f>IF(IF(A230="","",COUNTIF(CONSOLIDADO!$A:$A,$A230))=0,"REVISAR","OK")</f>
        <v>OK</v>
      </c>
    </row>
    <row r="231" spans="1:6" ht="11.45" customHeight="1" x14ac:dyDescent="0.2">
      <c r="A231" s="312" t="s">
        <v>711</v>
      </c>
      <c r="B231" s="313" t="s">
        <v>368</v>
      </c>
      <c r="C231" s="312" t="s">
        <v>202</v>
      </c>
      <c r="D231" s="314">
        <v>1844</v>
      </c>
      <c r="E231" s="313" t="s">
        <v>946</v>
      </c>
      <c r="F231" s="315" t="str">
        <f>IF(IF(A231="","",COUNTIF(CONSOLIDADO!$A:$A,$A231))=0,"REVISAR","OK")</f>
        <v>OK</v>
      </c>
    </row>
    <row r="232" spans="1:6" ht="11.45" customHeight="1" x14ac:dyDescent="0.2">
      <c r="A232" s="312" t="s">
        <v>711</v>
      </c>
      <c r="B232" s="313" t="s">
        <v>368</v>
      </c>
      <c r="C232" s="312" t="s">
        <v>202</v>
      </c>
      <c r="D232" s="314">
        <v>1845</v>
      </c>
      <c r="E232" s="313" t="s">
        <v>2146</v>
      </c>
      <c r="F232" s="315" t="str">
        <f>IF(IF(A232="","",COUNTIF(CONSOLIDADO!$A:$A,$A232))=0,"REVISAR","OK")</f>
        <v>OK</v>
      </c>
    </row>
    <row r="233" spans="1:6" ht="11.45" customHeight="1" x14ac:dyDescent="0.2">
      <c r="A233" s="312" t="s">
        <v>711</v>
      </c>
      <c r="B233" s="313" t="s">
        <v>368</v>
      </c>
      <c r="C233" s="312" t="s">
        <v>202</v>
      </c>
      <c r="D233" s="314">
        <v>1849</v>
      </c>
      <c r="E233" s="313" t="s">
        <v>932</v>
      </c>
      <c r="F233" s="315" t="str">
        <f>IF(IF(A233="","",COUNTIF(CONSOLIDADO!$A:$A,$A233))=0,"REVISAR","OK")</f>
        <v>OK</v>
      </c>
    </row>
    <row r="234" spans="1:6" ht="11.45" customHeight="1" x14ac:dyDescent="0.2">
      <c r="A234" s="312" t="s">
        <v>711</v>
      </c>
      <c r="B234" s="313" t="s">
        <v>368</v>
      </c>
      <c r="C234" s="312" t="s">
        <v>202</v>
      </c>
      <c r="D234" s="314">
        <v>2159</v>
      </c>
      <c r="E234" s="313" t="s">
        <v>930</v>
      </c>
      <c r="F234" s="315" t="str">
        <f>IF(IF(A234="","",COUNTIF(CONSOLIDADO!$A:$A,$A234))=0,"REVISAR","OK")</f>
        <v>OK</v>
      </c>
    </row>
    <row r="235" spans="1:6" ht="11.45" customHeight="1" x14ac:dyDescent="0.2">
      <c r="A235" s="312" t="s">
        <v>711</v>
      </c>
      <c r="B235" s="313" t="s">
        <v>368</v>
      </c>
      <c r="C235" s="312" t="s">
        <v>202</v>
      </c>
      <c r="D235" s="314">
        <v>2500</v>
      </c>
      <c r="E235" s="313" t="s">
        <v>2275</v>
      </c>
      <c r="F235" s="315" t="str">
        <f>IF(IF(A235="","",COUNTIF(CONSOLIDADO!$A:$A,$A235))=0,"REVISAR","OK")</f>
        <v>OK</v>
      </c>
    </row>
    <row r="236" spans="1:6" ht="11.45" customHeight="1" x14ac:dyDescent="0.2">
      <c r="A236" s="312" t="s">
        <v>711</v>
      </c>
      <c r="B236" s="313" t="s">
        <v>368</v>
      </c>
      <c r="C236" s="312" t="s">
        <v>202</v>
      </c>
      <c r="D236" s="314">
        <v>2800</v>
      </c>
      <c r="E236" s="313" t="s">
        <v>929</v>
      </c>
      <c r="F236" s="315" t="str">
        <f>IF(IF(A236="","",COUNTIF(CONSOLIDADO!$A:$A,$A236))=0,"REVISAR","OK")</f>
        <v>OK</v>
      </c>
    </row>
    <row r="237" spans="1:6" ht="11.45" customHeight="1" x14ac:dyDescent="0.2">
      <c r="A237" s="312" t="s">
        <v>711</v>
      </c>
      <c r="B237" s="313" t="s">
        <v>368</v>
      </c>
      <c r="C237" s="312" t="s">
        <v>202</v>
      </c>
      <c r="D237" s="314">
        <v>2800</v>
      </c>
      <c r="E237" s="313" t="s">
        <v>933</v>
      </c>
      <c r="F237" s="315" t="str">
        <f>IF(IF(A237="","",COUNTIF(CONSOLIDADO!$A:$A,$A237))=0,"REVISAR","OK")</f>
        <v>OK</v>
      </c>
    </row>
    <row r="238" spans="1:6" ht="11.45" customHeight="1" x14ac:dyDescent="0.2">
      <c r="A238" s="312" t="s">
        <v>711</v>
      </c>
      <c r="B238" s="313" t="s">
        <v>368</v>
      </c>
      <c r="C238" s="312" t="s">
        <v>202</v>
      </c>
      <c r="D238" s="314">
        <v>2900</v>
      </c>
      <c r="E238" s="313" t="s">
        <v>2232</v>
      </c>
      <c r="F238" s="315" t="str">
        <f>IF(IF(A238="","",COUNTIF(CONSOLIDADO!$A:$A,$A238))=0,"REVISAR","OK")</f>
        <v>OK</v>
      </c>
    </row>
    <row r="239" spans="1:6" ht="11.45" customHeight="1" x14ac:dyDescent="0.2">
      <c r="A239" s="312" t="s">
        <v>711</v>
      </c>
      <c r="B239" s="313" t="s">
        <v>368</v>
      </c>
      <c r="C239" s="312" t="s">
        <v>202</v>
      </c>
      <c r="D239" s="314">
        <v>2950</v>
      </c>
      <c r="E239" s="313" t="s">
        <v>2232</v>
      </c>
      <c r="F239" s="315" t="str">
        <f>IF(IF(A239="","",COUNTIF(CONSOLIDADO!$A:$A,$A239))=0,"REVISAR","OK")</f>
        <v>OK</v>
      </c>
    </row>
    <row r="240" spans="1:6" ht="11.45" customHeight="1" x14ac:dyDescent="0.2">
      <c r="A240" s="312" t="s">
        <v>711</v>
      </c>
      <c r="B240" s="313" t="s">
        <v>368</v>
      </c>
      <c r="C240" s="312" t="s">
        <v>202</v>
      </c>
      <c r="D240" s="314">
        <v>2950</v>
      </c>
      <c r="E240" s="313" t="s">
        <v>2232</v>
      </c>
      <c r="F240" s="315" t="str">
        <f>IF(IF(A240="","",COUNTIF(CONSOLIDADO!$A:$A,$A240))=0,"REVISAR","OK")</f>
        <v>OK</v>
      </c>
    </row>
    <row r="241" spans="1:6" ht="11.45" customHeight="1" x14ac:dyDescent="0.2">
      <c r="A241" s="312" t="s">
        <v>713</v>
      </c>
      <c r="B241" s="313" t="s">
        <v>527</v>
      </c>
      <c r="C241" s="312" t="s">
        <v>1007</v>
      </c>
      <c r="D241" s="314">
        <v>357</v>
      </c>
      <c r="E241" s="313" t="s">
        <v>982</v>
      </c>
      <c r="F241" s="315" t="str">
        <f>IF(IF(A241="","",COUNTIF(CONSOLIDADO!$A:$A,$A241))=0,"REVISAR","OK")</f>
        <v>OK</v>
      </c>
    </row>
    <row r="242" spans="1:6" ht="11.45" customHeight="1" x14ac:dyDescent="0.2">
      <c r="A242" s="312" t="s">
        <v>713</v>
      </c>
      <c r="B242" s="313" t="s">
        <v>527</v>
      </c>
      <c r="C242" s="312" t="s">
        <v>1007</v>
      </c>
      <c r="D242" s="314">
        <v>499</v>
      </c>
      <c r="E242" s="313" t="s">
        <v>939</v>
      </c>
      <c r="F242" s="315" t="str">
        <f>IF(IF(A242="","",COUNTIF(CONSOLIDADO!$A:$A,$A242))=0,"REVISAR","OK")</f>
        <v>OK</v>
      </c>
    </row>
    <row r="243" spans="1:6" ht="11.45" customHeight="1" x14ac:dyDescent="0.2">
      <c r="A243" s="312" t="s">
        <v>713</v>
      </c>
      <c r="B243" s="313" t="s">
        <v>527</v>
      </c>
      <c r="C243" s="312" t="s">
        <v>1007</v>
      </c>
      <c r="D243" s="314">
        <v>6000</v>
      </c>
      <c r="E243" s="313" t="s">
        <v>974</v>
      </c>
      <c r="F243" s="315" t="str">
        <f>IF(IF(A243="","",COUNTIF(CONSOLIDADO!$A:$A,$A243))=0,"REVISAR","OK")</f>
        <v>OK</v>
      </c>
    </row>
    <row r="244" spans="1:6" ht="11.45" customHeight="1" x14ac:dyDescent="0.2">
      <c r="A244" s="312" t="s">
        <v>1293</v>
      </c>
      <c r="B244" s="313" t="s">
        <v>1073</v>
      </c>
      <c r="C244" s="312" t="s">
        <v>1007</v>
      </c>
      <c r="D244" s="314">
        <v>1610</v>
      </c>
      <c r="E244" s="313" t="s">
        <v>948</v>
      </c>
      <c r="F244" s="315" t="str">
        <f>IF(IF(A244="","",COUNTIF(CONSOLIDADO!$A:$A,$A244))=0,"REVISAR","OK")</f>
        <v>OK</v>
      </c>
    </row>
    <row r="245" spans="1:6" ht="11.45" customHeight="1" x14ac:dyDescent="0.2">
      <c r="A245" s="312" t="s">
        <v>1293</v>
      </c>
      <c r="B245" s="313" t="s">
        <v>1073</v>
      </c>
      <c r="C245" s="312" t="s">
        <v>1007</v>
      </c>
      <c r="D245" s="314">
        <v>3213</v>
      </c>
      <c r="E245" s="313" t="s">
        <v>982</v>
      </c>
      <c r="F245" s="315" t="str">
        <f>IF(IF(A245="","",COUNTIF(CONSOLIDADO!$A:$A,$A245))=0,"REVISAR","OK")</f>
        <v>OK</v>
      </c>
    </row>
    <row r="246" spans="1:6" ht="11.45" customHeight="1" x14ac:dyDescent="0.2">
      <c r="A246" s="312" t="s">
        <v>715</v>
      </c>
      <c r="B246" s="313" t="s">
        <v>139</v>
      </c>
      <c r="C246" s="312" t="s">
        <v>111</v>
      </c>
      <c r="D246" s="314">
        <v>1495</v>
      </c>
      <c r="E246" s="313" t="s">
        <v>951</v>
      </c>
      <c r="F246" s="315" t="str">
        <f>IF(IF(A246="","",COUNTIF(CONSOLIDADO!$A:$A,$A246))=0,"REVISAR","OK")</f>
        <v>OK</v>
      </c>
    </row>
    <row r="247" spans="1:6" ht="11.45" customHeight="1" x14ac:dyDescent="0.2">
      <c r="A247" s="312" t="s">
        <v>715</v>
      </c>
      <c r="B247" s="313" t="s">
        <v>139</v>
      </c>
      <c r="C247" s="312" t="s">
        <v>111</v>
      </c>
      <c r="D247" s="314">
        <v>1500</v>
      </c>
      <c r="E247" s="313" t="s">
        <v>2274</v>
      </c>
      <c r="F247" s="315" t="str">
        <f>IF(IF(A247="","",COUNTIF(CONSOLIDADO!$A:$A,$A247))=0,"REVISAR","OK")</f>
        <v>OK</v>
      </c>
    </row>
    <row r="248" spans="1:6" ht="11.45" customHeight="1" x14ac:dyDescent="0.2">
      <c r="A248" s="312" t="s">
        <v>715</v>
      </c>
      <c r="B248" s="313" t="s">
        <v>139</v>
      </c>
      <c r="C248" s="312" t="s">
        <v>111</v>
      </c>
      <c r="D248" s="314">
        <v>1500</v>
      </c>
      <c r="E248" s="313" t="s">
        <v>2210</v>
      </c>
      <c r="F248" s="315" t="str">
        <f>IF(IF(A248="","",COUNTIF(CONSOLIDADO!$A:$A,$A248))=0,"REVISAR","OK")</f>
        <v>OK</v>
      </c>
    </row>
    <row r="249" spans="1:6" ht="11.45" customHeight="1" x14ac:dyDescent="0.2">
      <c r="A249" s="312" t="s">
        <v>715</v>
      </c>
      <c r="B249" s="313" t="s">
        <v>139</v>
      </c>
      <c r="C249" s="312" t="s">
        <v>111</v>
      </c>
      <c r="D249" s="314">
        <v>1785</v>
      </c>
      <c r="E249" s="313" t="s">
        <v>939</v>
      </c>
      <c r="F249" s="315" t="str">
        <f>IF(IF(A249="","",COUNTIF(CONSOLIDADO!$A:$A,$A249))=0,"REVISAR","OK")</f>
        <v>OK</v>
      </c>
    </row>
    <row r="250" spans="1:6" ht="11.45" customHeight="1" x14ac:dyDescent="0.2">
      <c r="A250" s="312" t="s">
        <v>715</v>
      </c>
      <c r="B250" s="313" t="s">
        <v>139</v>
      </c>
      <c r="C250" s="312" t="s">
        <v>111</v>
      </c>
      <c r="D250" s="314">
        <v>1889</v>
      </c>
      <c r="E250" s="313" t="s">
        <v>945</v>
      </c>
      <c r="F250" s="315" t="str">
        <f>IF(IF(A250="","",COUNTIF(CONSOLIDADO!$A:$A,$A250))=0,"REVISAR","OK")</f>
        <v>OK</v>
      </c>
    </row>
    <row r="251" spans="1:6" ht="11.45" customHeight="1" x14ac:dyDescent="0.2">
      <c r="A251" s="312" t="s">
        <v>715</v>
      </c>
      <c r="B251" s="313" t="s">
        <v>139</v>
      </c>
      <c r="C251" s="312" t="s">
        <v>111</v>
      </c>
      <c r="D251" s="314">
        <v>2000</v>
      </c>
      <c r="E251" s="313" t="s">
        <v>938</v>
      </c>
      <c r="F251" s="315" t="str">
        <f>IF(IF(A251="","",COUNTIF(CONSOLIDADO!$A:$A,$A251))=0,"REVISAR","OK")</f>
        <v>OK</v>
      </c>
    </row>
    <row r="252" spans="1:6" ht="11.45" customHeight="1" x14ac:dyDescent="0.2">
      <c r="A252" s="312" t="s">
        <v>715</v>
      </c>
      <c r="B252" s="313" t="s">
        <v>139</v>
      </c>
      <c r="C252" s="312" t="s">
        <v>111</v>
      </c>
      <c r="D252" s="314">
        <v>2011</v>
      </c>
      <c r="E252" s="313" t="s">
        <v>2070</v>
      </c>
      <c r="F252" s="315" t="str">
        <f>IF(IF(A252="","",COUNTIF(CONSOLIDADO!$A:$A,$A252))=0,"REVISAR","OK")</f>
        <v>OK</v>
      </c>
    </row>
    <row r="253" spans="1:6" ht="11.45" customHeight="1" x14ac:dyDescent="0.2">
      <c r="A253" s="312" t="s">
        <v>1295</v>
      </c>
      <c r="B253" s="313" t="s">
        <v>1296</v>
      </c>
      <c r="C253" s="312" t="s">
        <v>1007</v>
      </c>
      <c r="D253" s="314">
        <v>3570</v>
      </c>
      <c r="E253" s="313" t="s">
        <v>982</v>
      </c>
      <c r="F253" s="315" t="str">
        <f>IF(IF(A253="","",COUNTIF(CONSOLIDADO!$A:$A,$A253))=0,"REVISAR","OK")</f>
        <v>OK</v>
      </c>
    </row>
    <row r="254" spans="1:6" ht="11.45" customHeight="1" x14ac:dyDescent="0.2">
      <c r="A254" s="312" t="s">
        <v>716</v>
      </c>
      <c r="B254" s="313" t="s">
        <v>529</v>
      </c>
      <c r="C254" s="312" t="s">
        <v>15</v>
      </c>
      <c r="D254" s="314">
        <v>4165</v>
      </c>
      <c r="E254" s="313" t="s">
        <v>932</v>
      </c>
      <c r="F254" s="315" t="str">
        <f>IF(IF(A254="","",COUNTIF(CONSOLIDADO!$A:$A,$A254))=0,"REVISAR","OK")</f>
        <v>OK</v>
      </c>
    </row>
    <row r="255" spans="1:6" ht="11.45" customHeight="1" x14ac:dyDescent="0.2">
      <c r="A255" s="312" t="s">
        <v>716</v>
      </c>
      <c r="B255" s="313" t="s">
        <v>529</v>
      </c>
      <c r="C255" s="312" t="s">
        <v>15</v>
      </c>
      <c r="D255" s="314">
        <v>5236</v>
      </c>
      <c r="E255" s="313" t="s">
        <v>2070</v>
      </c>
      <c r="F255" s="315" t="str">
        <f>IF(IF(A255="","",COUNTIF(CONSOLIDADO!$A:$A,$A255))=0,"REVISAR","OK")</f>
        <v>OK</v>
      </c>
    </row>
    <row r="256" spans="1:6" ht="11.45" customHeight="1" x14ac:dyDescent="0.2">
      <c r="A256" s="312" t="s">
        <v>716</v>
      </c>
      <c r="B256" s="313" t="s">
        <v>529</v>
      </c>
      <c r="C256" s="312" t="s">
        <v>15</v>
      </c>
      <c r="D256" s="314">
        <v>5938</v>
      </c>
      <c r="E256" s="313" t="s">
        <v>2210</v>
      </c>
      <c r="F256" s="315" t="str">
        <f>IF(IF(A256="","",COUNTIF(CONSOLIDADO!$A:$A,$A256))=0,"REVISAR","OK")</f>
        <v>OK</v>
      </c>
    </row>
    <row r="257" spans="1:6" ht="11.45" customHeight="1" x14ac:dyDescent="0.2">
      <c r="A257" s="312" t="s">
        <v>716</v>
      </c>
      <c r="B257" s="313" t="s">
        <v>529</v>
      </c>
      <c r="C257" s="312" t="s">
        <v>15</v>
      </c>
      <c r="D257" s="314">
        <v>7735</v>
      </c>
      <c r="E257" s="313" t="s">
        <v>949</v>
      </c>
      <c r="F257" s="315" t="str">
        <f>IF(IF(A257="","",COUNTIF(CONSOLIDADO!$A:$A,$A257))=0,"REVISAR","OK")</f>
        <v>OK</v>
      </c>
    </row>
    <row r="258" spans="1:6" ht="11.45" customHeight="1" x14ac:dyDescent="0.2">
      <c r="A258" s="312" t="s">
        <v>1297</v>
      </c>
      <c r="B258" s="313" t="s">
        <v>1298</v>
      </c>
      <c r="C258" s="312" t="s">
        <v>111</v>
      </c>
      <c r="D258" s="314">
        <v>4690</v>
      </c>
      <c r="E258" s="313" t="s">
        <v>948</v>
      </c>
      <c r="F258" s="315" t="str">
        <f>IF(IF(A258="","",COUNTIF(CONSOLIDADO!$A:$A,$A258))=0,"REVISAR","OK")</f>
        <v>OK</v>
      </c>
    </row>
    <row r="259" spans="1:6" ht="11.45" customHeight="1" x14ac:dyDescent="0.2">
      <c r="A259" s="312" t="s">
        <v>979</v>
      </c>
      <c r="B259" s="313" t="s">
        <v>980</v>
      </c>
      <c r="C259" s="312" t="s">
        <v>111</v>
      </c>
      <c r="D259" s="314">
        <v>4500</v>
      </c>
      <c r="E259" s="313" t="s">
        <v>937</v>
      </c>
      <c r="F259" s="315" t="str">
        <f>IF(IF(A259="","",COUNTIF(CONSOLIDADO!$A:$A,$A259))=0,"REVISAR","OK")</f>
        <v>OK</v>
      </c>
    </row>
    <row r="260" spans="1:6" ht="11.45" customHeight="1" x14ac:dyDescent="0.2">
      <c r="A260" s="312" t="s">
        <v>979</v>
      </c>
      <c r="B260" s="313" t="s">
        <v>980</v>
      </c>
      <c r="C260" s="312" t="s">
        <v>111</v>
      </c>
      <c r="D260" s="314">
        <v>5500</v>
      </c>
      <c r="E260" s="313" t="s">
        <v>2258</v>
      </c>
      <c r="F260" s="315" t="str">
        <f>IF(IF(A260="","",COUNTIF(CONSOLIDADO!$A:$A,$A260))=0,"REVISAR","OK")</f>
        <v>OK</v>
      </c>
    </row>
    <row r="261" spans="1:6" ht="11.45" customHeight="1" x14ac:dyDescent="0.2">
      <c r="A261" s="312" t="s">
        <v>728</v>
      </c>
      <c r="B261" s="313" t="s">
        <v>435</v>
      </c>
      <c r="C261" s="312" t="s">
        <v>981</v>
      </c>
      <c r="D261" s="314">
        <v>3570</v>
      </c>
      <c r="E261" s="313" t="s">
        <v>929</v>
      </c>
      <c r="F261" s="315" t="str">
        <f>IF(IF(A261="","",COUNTIF(CONSOLIDADO!$A:$A,$A261))=0,"REVISAR","OK")</f>
        <v>OK</v>
      </c>
    </row>
    <row r="262" spans="1:6" ht="11.45" customHeight="1" x14ac:dyDescent="0.2">
      <c r="A262" s="312" t="s">
        <v>728</v>
      </c>
      <c r="B262" s="313" t="s">
        <v>435</v>
      </c>
      <c r="C262" s="312" t="s">
        <v>981</v>
      </c>
      <c r="D262" s="314">
        <v>3629</v>
      </c>
      <c r="E262" s="313" t="s">
        <v>2258</v>
      </c>
      <c r="F262" s="315" t="str">
        <f>IF(IF(A262="","",COUNTIF(CONSOLIDADO!$A:$A,$A262))=0,"REVISAR","OK")</f>
        <v>OK</v>
      </c>
    </row>
    <row r="263" spans="1:6" ht="11.45" customHeight="1" x14ac:dyDescent="0.2">
      <c r="A263" s="312" t="s">
        <v>728</v>
      </c>
      <c r="B263" s="313" t="s">
        <v>435</v>
      </c>
      <c r="C263" s="312" t="s">
        <v>981</v>
      </c>
      <c r="D263" s="314">
        <v>3666</v>
      </c>
      <c r="E263" s="313" t="s">
        <v>932</v>
      </c>
      <c r="F263" s="315" t="str">
        <f>IF(IF(A263="","",COUNTIF(CONSOLIDADO!$A:$A,$A263))=0,"REVISAR","OK")</f>
        <v>OK</v>
      </c>
    </row>
    <row r="264" spans="1:6" ht="11.45" customHeight="1" x14ac:dyDescent="0.2">
      <c r="A264" s="312" t="s">
        <v>728</v>
      </c>
      <c r="B264" s="313" t="s">
        <v>435</v>
      </c>
      <c r="C264" s="312" t="s">
        <v>981</v>
      </c>
      <c r="D264" s="314">
        <v>3689</v>
      </c>
      <c r="E264" s="313" t="s">
        <v>946</v>
      </c>
      <c r="F264" s="315" t="str">
        <f>IF(IF(A264="","",COUNTIF(CONSOLIDADO!$A:$A,$A264))=0,"REVISAR","OK")</f>
        <v>OK</v>
      </c>
    </row>
    <row r="265" spans="1:6" ht="11.45" customHeight="1" x14ac:dyDescent="0.2">
      <c r="A265" s="312" t="s">
        <v>728</v>
      </c>
      <c r="B265" s="313" t="s">
        <v>435</v>
      </c>
      <c r="C265" s="312" t="s">
        <v>981</v>
      </c>
      <c r="D265" s="314">
        <v>3689</v>
      </c>
      <c r="E265" s="313" t="s">
        <v>931</v>
      </c>
      <c r="F265" s="315" t="str">
        <f>IF(IF(A265="","",COUNTIF(CONSOLIDADO!$A:$A,$A265))=0,"REVISAR","OK")</f>
        <v>OK</v>
      </c>
    </row>
    <row r="266" spans="1:6" ht="11.45" customHeight="1" x14ac:dyDescent="0.2">
      <c r="A266" s="312" t="s">
        <v>728</v>
      </c>
      <c r="B266" s="313" t="s">
        <v>435</v>
      </c>
      <c r="C266" s="312" t="s">
        <v>981</v>
      </c>
      <c r="D266" s="314">
        <v>3781</v>
      </c>
      <c r="E266" s="313" t="s">
        <v>937</v>
      </c>
      <c r="F266" s="315" t="str">
        <f>IF(IF(A266="","",COUNTIF(CONSOLIDADO!$A:$A,$A266))=0,"REVISAR","OK")</f>
        <v>OK</v>
      </c>
    </row>
    <row r="267" spans="1:6" ht="11.45" customHeight="1" x14ac:dyDescent="0.2">
      <c r="A267" s="312" t="s">
        <v>728</v>
      </c>
      <c r="B267" s="313" t="s">
        <v>435</v>
      </c>
      <c r="C267" s="312" t="s">
        <v>981</v>
      </c>
      <c r="D267" s="314">
        <v>3800</v>
      </c>
      <c r="E267" s="313" t="s">
        <v>939</v>
      </c>
      <c r="F267" s="315" t="str">
        <f>IF(IF(A267="","",COUNTIF(CONSOLIDADO!$A:$A,$A267))=0,"REVISAR","OK")</f>
        <v>OK</v>
      </c>
    </row>
    <row r="268" spans="1:6" ht="11.45" customHeight="1" x14ac:dyDescent="0.2">
      <c r="A268" s="312" t="s">
        <v>728</v>
      </c>
      <c r="B268" s="313" t="s">
        <v>435</v>
      </c>
      <c r="C268" s="312" t="s">
        <v>981</v>
      </c>
      <c r="D268" s="314">
        <v>3861</v>
      </c>
      <c r="E268" s="313" t="s">
        <v>950</v>
      </c>
      <c r="F268" s="315" t="str">
        <f>IF(IF(A268="","",COUNTIF(CONSOLIDADO!$A:$A,$A268))=0,"REVISAR","OK")</f>
        <v>OK</v>
      </c>
    </row>
    <row r="269" spans="1:6" ht="11.45" customHeight="1" x14ac:dyDescent="0.2">
      <c r="A269" s="312" t="s">
        <v>728</v>
      </c>
      <c r="B269" s="313" t="s">
        <v>435</v>
      </c>
      <c r="C269" s="312" t="s">
        <v>981</v>
      </c>
      <c r="D269" s="314">
        <v>4347</v>
      </c>
      <c r="E269" s="313" t="s">
        <v>949</v>
      </c>
      <c r="F269" s="315" t="str">
        <f>IF(IF(A269="","",COUNTIF(CONSOLIDADO!$A:$A,$A269))=0,"REVISAR","OK")</f>
        <v>OK</v>
      </c>
    </row>
    <row r="270" spans="1:6" ht="11.45" customHeight="1" x14ac:dyDescent="0.2">
      <c r="A270" s="312" t="s">
        <v>728</v>
      </c>
      <c r="B270" s="313" t="s">
        <v>435</v>
      </c>
      <c r="C270" s="312" t="s">
        <v>981</v>
      </c>
      <c r="D270" s="314">
        <v>5065</v>
      </c>
      <c r="E270" s="313" t="s">
        <v>2070</v>
      </c>
      <c r="F270" s="315" t="str">
        <f>IF(IF(A270="","",COUNTIF(CONSOLIDADO!$A:$A,$A270))=0,"REVISAR","OK")</f>
        <v>OK</v>
      </c>
    </row>
    <row r="271" spans="1:6" ht="11.45" customHeight="1" x14ac:dyDescent="0.2">
      <c r="A271" s="312" t="s">
        <v>728</v>
      </c>
      <c r="B271" s="313" t="s">
        <v>435</v>
      </c>
      <c r="C271" s="312" t="s">
        <v>981</v>
      </c>
      <c r="D271" s="314">
        <v>5080</v>
      </c>
      <c r="E271" s="313" t="s">
        <v>933</v>
      </c>
      <c r="F271" s="315" t="str">
        <f>IF(IF(A271="","",COUNTIF(CONSOLIDADO!$A:$A,$A271))=0,"REVISAR","OK")</f>
        <v>OK</v>
      </c>
    </row>
    <row r="272" spans="1:6" ht="11.45" customHeight="1" x14ac:dyDescent="0.2">
      <c r="A272" s="312" t="s">
        <v>983</v>
      </c>
      <c r="B272" s="313" t="s">
        <v>984</v>
      </c>
      <c r="C272" s="312" t="s">
        <v>906</v>
      </c>
      <c r="D272" s="314">
        <v>2023</v>
      </c>
      <c r="E272" s="313" t="s">
        <v>946</v>
      </c>
      <c r="F272" s="315" t="str">
        <f>IF(IF(A272="","",COUNTIF(CONSOLIDADO!$A:$A,$A272))=0,"REVISAR","OK")</f>
        <v>OK</v>
      </c>
    </row>
    <row r="273" spans="1:6" ht="11.45" customHeight="1" x14ac:dyDescent="0.2">
      <c r="A273" s="312" t="s">
        <v>732</v>
      </c>
      <c r="B273" s="313" t="s">
        <v>535</v>
      </c>
      <c r="C273" s="312" t="s">
        <v>15</v>
      </c>
      <c r="D273" s="314">
        <v>2737</v>
      </c>
      <c r="E273" s="313" t="s">
        <v>946</v>
      </c>
      <c r="F273" s="315" t="str">
        <f>IF(IF(A273="","",COUNTIF(CONSOLIDADO!$A:$A,$A273))=0,"REVISAR","OK")</f>
        <v>OK</v>
      </c>
    </row>
    <row r="274" spans="1:6" ht="11.45" customHeight="1" x14ac:dyDescent="0.2">
      <c r="A274" s="312" t="s">
        <v>732</v>
      </c>
      <c r="B274" s="313" t="s">
        <v>535</v>
      </c>
      <c r="C274" s="312" t="s">
        <v>15</v>
      </c>
      <c r="D274" s="314">
        <v>2899</v>
      </c>
      <c r="E274" s="313" t="s">
        <v>937</v>
      </c>
      <c r="F274" s="315" t="str">
        <f>IF(IF(A274="","",COUNTIF(CONSOLIDADO!$A:$A,$A274))=0,"REVISAR","OK")</f>
        <v>OK</v>
      </c>
    </row>
    <row r="275" spans="1:6" ht="11.45" customHeight="1" x14ac:dyDescent="0.2">
      <c r="A275" s="312" t="s">
        <v>985</v>
      </c>
      <c r="B275" s="313" t="s">
        <v>986</v>
      </c>
      <c r="C275" s="312" t="s">
        <v>297</v>
      </c>
      <c r="D275" s="314">
        <v>8899</v>
      </c>
      <c r="E275" s="313" t="s">
        <v>937</v>
      </c>
      <c r="F275" s="315" t="str">
        <f>IF(IF(A275="","",COUNTIF(CONSOLIDADO!$A:$A,$A275))=0,"REVISAR","OK")</f>
        <v>OK</v>
      </c>
    </row>
    <row r="276" spans="1:6" ht="11.45" customHeight="1" x14ac:dyDescent="0.2">
      <c r="A276" s="312" t="s">
        <v>987</v>
      </c>
      <c r="B276" s="313" t="s">
        <v>536</v>
      </c>
      <c r="C276" s="312" t="s">
        <v>942</v>
      </c>
      <c r="D276" s="314">
        <v>2270</v>
      </c>
      <c r="E276" s="313" t="s">
        <v>951</v>
      </c>
      <c r="F276" s="315" t="str">
        <f>IF(IF(A276="","",COUNTIF(CONSOLIDADO!$A:$A,$A276))=0,"REVISAR","OK")</f>
        <v>OK</v>
      </c>
    </row>
    <row r="277" spans="1:6" ht="11.45" customHeight="1" x14ac:dyDescent="0.2">
      <c r="A277" s="312" t="s">
        <v>733</v>
      </c>
      <c r="B277" s="313" t="s">
        <v>536</v>
      </c>
      <c r="C277" s="312" t="s">
        <v>297</v>
      </c>
      <c r="D277" s="314">
        <v>7378</v>
      </c>
      <c r="E277" s="313" t="s">
        <v>946</v>
      </c>
      <c r="F277" s="315" t="str">
        <f>IF(IF(A277="","",COUNTIF(CONSOLIDADO!$A:$A,$A277))=0,"REVISAR","OK")</f>
        <v>OK</v>
      </c>
    </row>
    <row r="278" spans="1:6" ht="11.45" customHeight="1" x14ac:dyDescent="0.2">
      <c r="A278" s="312" t="s">
        <v>734</v>
      </c>
      <c r="B278" s="313" t="s">
        <v>93</v>
      </c>
      <c r="C278" s="312" t="s">
        <v>15</v>
      </c>
      <c r="D278" s="314">
        <v>1259</v>
      </c>
      <c r="E278" s="313" t="s">
        <v>944</v>
      </c>
      <c r="F278" s="315" t="str">
        <f>IF(IF(A278="","",COUNTIF(CONSOLIDADO!$A:$A,$A278))=0,"REVISAR","OK")</f>
        <v>OK</v>
      </c>
    </row>
    <row r="279" spans="1:6" ht="11.45" customHeight="1" x14ac:dyDescent="0.2">
      <c r="A279" s="312" t="s">
        <v>734</v>
      </c>
      <c r="B279" s="313" t="s">
        <v>93</v>
      </c>
      <c r="C279" s="312" t="s">
        <v>15</v>
      </c>
      <c r="D279" s="314">
        <v>1410</v>
      </c>
      <c r="E279" s="313" t="s">
        <v>937</v>
      </c>
      <c r="F279" s="315" t="str">
        <f>IF(IF(A279="","",COUNTIF(CONSOLIDADO!$A:$A,$A279))=0,"REVISAR","OK")</f>
        <v>OK</v>
      </c>
    </row>
    <row r="280" spans="1:6" ht="11.45" customHeight="1" x14ac:dyDescent="0.2">
      <c r="A280" s="312" t="s">
        <v>734</v>
      </c>
      <c r="B280" s="313" t="s">
        <v>93</v>
      </c>
      <c r="C280" s="312" t="s">
        <v>15</v>
      </c>
      <c r="D280" s="314">
        <v>1669</v>
      </c>
      <c r="E280" s="313" t="s">
        <v>931</v>
      </c>
      <c r="F280" s="315" t="str">
        <f>IF(IF(A280="","",COUNTIF(CONSOLIDADO!$A:$A,$A280))=0,"REVISAR","OK")</f>
        <v>OK</v>
      </c>
    </row>
    <row r="281" spans="1:6" ht="11.45" customHeight="1" x14ac:dyDescent="0.2">
      <c r="A281" s="312" t="s">
        <v>734</v>
      </c>
      <c r="B281" s="313" t="s">
        <v>93</v>
      </c>
      <c r="C281" s="312" t="s">
        <v>15</v>
      </c>
      <c r="D281" s="314">
        <v>1800</v>
      </c>
      <c r="E281" s="313" t="s">
        <v>929</v>
      </c>
      <c r="F281" s="315" t="str">
        <f>IF(IF(A281="","",COUNTIF(CONSOLIDADO!$A:$A,$A281))=0,"REVISAR","OK")</f>
        <v>OK</v>
      </c>
    </row>
    <row r="282" spans="1:6" ht="11.45" customHeight="1" x14ac:dyDescent="0.2">
      <c r="A282" s="312" t="s">
        <v>734</v>
      </c>
      <c r="B282" s="313" t="s">
        <v>93</v>
      </c>
      <c r="C282" s="312" t="s">
        <v>15</v>
      </c>
      <c r="D282" s="314">
        <v>1849</v>
      </c>
      <c r="E282" s="313" t="s">
        <v>945</v>
      </c>
      <c r="F282" s="315" t="str">
        <f>IF(IF(A282="","",COUNTIF(CONSOLIDADO!$A:$A,$A282))=0,"REVISAR","OK")</f>
        <v>OK</v>
      </c>
    </row>
    <row r="283" spans="1:6" ht="11.45" customHeight="1" x14ac:dyDescent="0.2">
      <c r="A283" s="312" t="s">
        <v>734</v>
      </c>
      <c r="B283" s="313" t="s">
        <v>93</v>
      </c>
      <c r="C283" s="312" t="s">
        <v>15</v>
      </c>
      <c r="D283" s="314">
        <v>1850</v>
      </c>
      <c r="E283" s="313" t="s">
        <v>945</v>
      </c>
      <c r="F283" s="315" t="str">
        <f>IF(IF(A283="","",COUNTIF(CONSOLIDADO!$A:$A,$A283))=0,"REVISAR","OK")</f>
        <v>OK</v>
      </c>
    </row>
    <row r="284" spans="1:6" ht="11.45" customHeight="1" x14ac:dyDescent="0.2">
      <c r="A284" s="312" t="s">
        <v>734</v>
      </c>
      <c r="B284" s="313" t="s">
        <v>93</v>
      </c>
      <c r="C284" s="312" t="s">
        <v>15</v>
      </c>
      <c r="D284" s="314">
        <v>1850</v>
      </c>
      <c r="E284" s="313" t="s">
        <v>945</v>
      </c>
      <c r="F284" s="315" t="str">
        <f>IF(IF(A284="","",COUNTIF(CONSOLIDADO!$A:$A,$A284))=0,"REVISAR","OK")</f>
        <v>OK</v>
      </c>
    </row>
    <row r="285" spans="1:6" ht="11.45" customHeight="1" x14ac:dyDescent="0.2">
      <c r="A285" s="312" t="s">
        <v>734</v>
      </c>
      <c r="B285" s="313" t="s">
        <v>93</v>
      </c>
      <c r="C285" s="312" t="s">
        <v>15</v>
      </c>
      <c r="D285" s="314">
        <v>1850</v>
      </c>
      <c r="E285" s="313" t="s">
        <v>945</v>
      </c>
      <c r="F285" s="315" t="str">
        <f>IF(IF(A285="","",COUNTIF(CONSOLIDADO!$A:$A,$A285))=0,"REVISAR","OK")</f>
        <v>OK</v>
      </c>
    </row>
    <row r="286" spans="1:6" ht="11.45" customHeight="1" x14ac:dyDescent="0.2">
      <c r="A286" s="312" t="s">
        <v>734</v>
      </c>
      <c r="B286" s="313" t="s">
        <v>93</v>
      </c>
      <c r="C286" s="312" t="s">
        <v>15</v>
      </c>
      <c r="D286" s="314">
        <v>1889</v>
      </c>
      <c r="E286" s="313" t="s">
        <v>930</v>
      </c>
      <c r="F286" s="315" t="str">
        <f>IF(IF(A286="","",COUNTIF(CONSOLIDADO!$A:$A,$A286))=0,"REVISAR","OK")</f>
        <v>OK</v>
      </c>
    </row>
    <row r="287" spans="1:6" ht="11.45" customHeight="1" x14ac:dyDescent="0.2">
      <c r="A287" s="312" t="s">
        <v>734</v>
      </c>
      <c r="B287" s="313" t="s">
        <v>93</v>
      </c>
      <c r="C287" s="312" t="s">
        <v>15</v>
      </c>
      <c r="D287" s="314">
        <v>1899</v>
      </c>
      <c r="E287" s="313" t="s">
        <v>934</v>
      </c>
      <c r="F287" s="315" t="str">
        <f>IF(IF(A287="","",COUNTIF(CONSOLIDADO!$A:$A,$A287))=0,"REVISAR","OK")</f>
        <v>OK</v>
      </c>
    </row>
    <row r="288" spans="1:6" ht="11.45" customHeight="1" x14ac:dyDescent="0.2">
      <c r="A288" s="312" t="s">
        <v>1302</v>
      </c>
      <c r="B288" s="313" t="s">
        <v>1303</v>
      </c>
      <c r="C288" s="312" t="s">
        <v>947</v>
      </c>
      <c r="D288" s="314">
        <v>2142</v>
      </c>
      <c r="E288" s="313" t="s">
        <v>982</v>
      </c>
      <c r="F288" s="315" t="str">
        <f>IF(IF(A288="","",COUNTIF(CONSOLIDADO!$A:$A,$A288))=0,"REVISAR","OK")</f>
        <v>OK</v>
      </c>
    </row>
    <row r="289" spans="1:6" ht="11.45" customHeight="1" x14ac:dyDescent="0.2">
      <c r="A289" s="312" t="s">
        <v>1856</v>
      </c>
      <c r="B289" s="313" t="s">
        <v>1857</v>
      </c>
      <c r="C289" s="312" t="s">
        <v>947</v>
      </c>
      <c r="D289" s="314">
        <v>2142</v>
      </c>
      <c r="E289" s="313" t="s">
        <v>982</v>
      </c>
      <c r="F289" s="315" t="str">
        <f>IF(IF(A289="","",COUNTIF(CONSOLIDADO!$A:$A,$A289))=0,"REVISAR","OK")</f>
        <v>OK</v>
      </c>
    </row>
    <row r="290" spans="1:6" ht="11.45" customHeight="1" x14ac:dyDescent="0.2">
      <c r="A290" s="312" t="s">
        <v>1304</v>
      </c>
      <c r="B290" s="313" t="s">
        <v>1305</v>
      </c>
      <c r="C290" s="312" t="s">
        <v>947</v>
      </c>
      <c r="D290" s="314">
        <v>7735</v>
      </c>
      <c r="E290" s="313" t="s">
        <v>982</v>
      </c>
      <c r="F290" s="315" t="str">
        <f>IF(IF(A290="","",COUNTIF(CONSOLIDADO!$A:$A,$A290))=0,"REVISAR","OK")</f>
        <v>OK</v>
      </c>
    </row>
    <row r="291" spans="1:6" ht="11.45" customHeight="1" x14ac:dyDescent="0.2">
      <c r="A291" s="312" t="s">
        <v>1308</v>
      </c>
      <c r="B291" s="313" t="s">
        <v>1309</v>
      </c>
      <c r="C291" s="312" t="s">
        <v>15</v>
      </c>
      <c r="D291" s="314">
        <v>3451</v>
      </c>
      <c r="E291" s="313" t="s">
        <v>982</v>
      </c>
      <c r="F291" s="315" t="str">
        <f>IF(IF(A291="","",COUNTIF(CONSOLIDADO!$A:$A,$A291))=0,"REVISAR","OK")</f>
        <v>OK</v>
      </c>
    </row>
    <row r="292" spans="1:6" ht="11.45" customHeight="1" x14ac:dyDescent="0.2">
      <c r="A292" s="312" t="s">
        <v>736</v>
      </c>
      <c r="B292" s="313" t="s">
        <v>537</v>
      </c>
      <c r="C292" s="312" t="s">
        <v>202</v>
      </c>
      <c r="D292" s="314">
        <v>809</v>
      </c>
      <c r="E292" s="313" t="s">
        <v>945</v>
      </c>
      <c r="F292" s="315" t="str">
        <f>IF(IF(A292="","",COUNTIF(CONSOLIDADO!$A:$A,$A292))=0,"REVISAR","OK")</f>
        <v>OK</v>
      </c>
    </row>
    <row r="293" spans="1:6" ht="11.45" customHeight="1" x14ac:dyDescent="0.2">
      <c r="A293" s="312" t="s">
        <v>736</v>
      </c>
      <c r="B293" s="313" t="s">
        <v>537</v>
      </c>
      <c r="C293" s="312" t="s">
        <v>202</v>
      </c>
      <c r="D293" s="314">
        <v>810</v>
      </c>
      <c r="E293" s="313" t="s">
        <v>945</v>
      </c>
      <c r="F293" s="315" t="str">
        <f>IF(IF(A293="","",COUNTIF(CONSOLIDADO!$A:$A,$A293))=0,"REVISAR","OK")</f>
        <v>OK</v>
      </c>
    </row>
    <row r="294" spans="1:6" ht="11.45" customHeight="1" x14ac:dyDescent="0.2">
      <c r="A294" s="312" t="s">
        <v>736</v>
      </c>
      <c r="B294" s="313" t="s">
        <v>537</v>
      </c>
      <c r="C294" s="312" t="s">
        <v>202</v>
      </c>
      <c r="D294" s="314">
        <v>1071</v>
      </c>
      <c r="E294" s="313" t="s">
        <v>939</v>
      </c>
      <c r="F294" s="315" t="str">
        <f>IF(IF(A294="","",COUNTIF(CONSOLIDADO!$A:$A,$A294))=0,"REVISAR","OK")</f>
        <v>OK</v>
      </c>
    </row>
    <row r="295" spans="1:6" ht="11.45" customHeight="1" x14ac:dyDescent="0.2">
      <c r="A295" s="312" t="s">
        <v>736</v>
      </c>
      <c r="B295" s="313" t="s">
        <v>537</v>
      </c>
      <c r="C295" s="312" t="s">
        <v>202</v>
      </c>
      <c r="D295" s="314">
        <v>1487</v>
      </c>
      <c r="E295" s="313" t="s">
        <v>932</v>
      </c>
      <c r="F295" s="315" t="str">
        <f>IF(IF(A295="","",COUNTIF(CONSOLIDADO!$A:$A,$A295))=0,"REVISAR","OK")</f>
        <v>OK</v>
      </c>
    </row>
    <row r="296" spans="1:6" ht="11.45" customHeight="1" x14ac:dyDescent="0.2">
      <c r="A296" s="312" t="s">
        <v>736</v>
      </c>
      <c r="B296" s="313" t="s">
        <v>537</v>
      </c>
      <c r="C296" s="312" t="s">
        <v>202</v>
      </c>
      <c r="D296" s="314">
        <v>1487</v>
      </c>
      <c r="E296" s="313" t="s">
        <v>943</v>
      </c>
      <c r="F296" s="315" t="str">
        <f>IF(IF(A296="","",COUNTIF(CONSOLIDADO!$A:$A,$A296))=0,"REVISAR","OK")</f>
        <v>OK</v>
      </c>
    </row>
    <row r="297" spans="1:6" ht="11.45" customHeight="1" x14ac:dyDescent="0.2">
      <c r="A297" s="312" t="s">
        <v>736</v>
      </c>
      <c r="B297" s="313" t="s">
        <v>537</v>
      </c>
      <c r="C297" s="312" t="s">
        <v>202</v>
      </c>
      <c r="D297" s="314">
        <v>1500</v>
      </c>
      <c r="E297" s="313" t="s">
        <v>2274</v>
      </c>
      <c r="F297" s="315" t="str">
        <f>IF(IF(A297="","",COUNTIF(CONSOLIDADO!$A:$A,$A297))=0,"REVISAR","OK")</f>
        <v>OK</v>
      </c>
    </row>
    <row r="298" spans="1:6" ht="11.45" customHeight="1" x14ac:dyDescent="0.2">
      <c r="A298" s="312" t="s">
        <v>736</v>
      </c>
      <c r="B298" s="313" t="s">
        <v>537</v>
      </c>
      <c r="C298" s="312" t="s">
        <v>202</v>
      </c>
      <c r="D298" s="314">
        <v>2798</v>
      </c>
      <c r="E298" s="313" t="s">
        <v>950</v>
      </c>
      <c r="F298" s="315" t="str">
        <f>IF(IF(A298="","",COUNTIF(CONSOLIDADO!$A:$A,$A298))=0,"REVISAR","OK")</f>
        <v>OK</v>
      </c>
    </row>
    <row r="299" spans="1:6" ht="11.45" customHeight="1" x14ac:dyDescent="0.2">
      <c r="A299" s="312" t="s">
        <v>742</v>
      </c>
      <c r="B299" s="313" t="s">
        <v>150</v>
      </c>
      <c r="C299" s="312" t="s">
        <v>15</v>
      </c>
      <c r="D299" s="314">
        <v>3199</v>
      </c>
      <c r="E299" s="313" t="s">
        <v>945</v>
      </c>
      <c r="F299" s="315" t="str">
        <f>IF(IF(A299="","",COUNTIF(CONSOLIDADO!$A:$A,$A299))=0,"REVISAR","OK")</f>
        <v>OK</v>
      </c>
    </row>
    <row r="300" spans="1:6" ht="11.45" customHeight="1" x14ac:dyDescent="0.2">
      <c r="A300" s="312" t="s">
        <v>743</v>
      </c>
      <c r="B300" s="313" t="s">
        <v>436</v>
      </c>
      <c r="C300" s="312" t="s">
        <v>111</v>
      </c>
      <c r="D300" s="314">
        <v>244</v>
      </c>
      <c r="E300" s="313" t="s">
        <v>2070</v>
      </c>
      <c r="F300" s="315" t="str">
        <f>IF(IF(A300="","",COUNTIF(CONSOLIDADO!$A:$A,$A300))=0,"REVISAR","OK")</f>
        <v>OK</v>
      </c>
    </row>
    <row r="301" spans="1:6" ht="11.45" customHeight="1" x14ac:dyDescent="0.2">
      <c r="A301" s="312" t="s">
        <v>743</v>
      </c>
      <c r="B301" s="313" t="s">
        <v>436</v>
      </c>
      <c r="C301" s="312" t="s">
        <v>111</v>
      </c>
      <c r="D301" s="314">
        <v>455</v>
      </c>
      <c r="E301" s="313" t="s">
        <v>951</v>
      </c>
      <c r="F301" s="315" t="str">
        <f>IF(IF(A301="","",COUNTIF(CONSOLIDADO!$A:$A,$A301))=0,"REVISAR","OK")</f>
        <v>OK</v>
      </c>
    </row>
    <row r="302" spans="1:6" ht="11.45" customHeight="1" x14ac:dyDescent="0.2">
      <c r="A302" s="312" t="s">
        <v>743</v>
      </c>
      <c r="B302" s="313" t="s">
        <v>436</v>
      </c>
      <c r="C302" s="312" t="s">
        <v>111</v>
      </c>
      <c r="D302" s="314">
        <v>460</v>
      </c>
      <c r="E302" s="313" t="s">
        <v>951</v>
      </c>
      <c r="F302" s="315" t="str">
        <f>IF(IF(A302="","",COUNTIF(CONSOLIDADO!$A:$A,$A302))=0,"REVISAR","OK")</f>
        <v>OK</v>
      </c>
    </row>
    <row r="303" spans="1:6" ht="11.45" customHeight="1" x14ac:dyDescent="0.2">
      <c r="A303" s="312" t="s">
        <v>743</v>
      </c>
      <c r="B303" s="313" t="s">
        <v>436</v>
      </c>
      <c r="C303" s="312" t="s">
        <v>111</v>
      </c>
      <c r="D303" s="314">
        <v>585</v>
      </c>
      <c r="E303" s="313" t="s">
        <v>951</v>
      </c>
      <c r="F303" s="315" t="str">
        <f>IF(IF(A303="","",COUNTIF(CONSOLIDADO!$A:$A,$A303))=0,"REVISAR","OK")</f>
        <v>OK</v>
      </c>
    </row>
    <row r="304" spans="1:6" ht="11.45" customHeight="1" x14ac:dyDescent="0.2">
      <c r="A304" s="312" t="s">
        <v>743</v>
      </c>
      <c r="B304" s="313" t="s">
        <v>436</v>
      </c>
      <c r="C304" s="312" t="s">
        <v>111</v>
      </c>
      <c r="D304" s="314">
        <v>835</v>
      </c>
      <c r="E304" s="313" t="s">
        <v>951</v>
      </c>
      <c r="F304" s="315" t="str">
        <f>IF(IF(A304="","",COUNTIF(CONSOLIDADO!$A:$A,$A304))=0,"REVISAR","OK")</f>
        <v>OK</v>
      </c>
    </row>
    <row r="305" spans="1:6" ht="11.45" customHeight="1" x14ac:dyDescent="0.2">
      <c r="A305" s="312" t="s">
        <v>743</v>
      </c>
      <c r="B305" s="313" t="s">
        <v>436</v>
      </c>
      <c r="C305" s="312" t="s">
        <v>111</v>
      </c>
      <c r="D305" s="314">
        <v>865</v>
      </c>
      <c r="E305" s="313" t="s">
        <v>951</v>
      </c>
      <c r="F305" s="315" t="str">
        <f>IF(IF(A305="","",COUNTIF(CONSOLIDADO!$A:$A,$A305))=0,"REVISAR","OK")</f>
        <v>OK</v>
      </c>
    </row>
    <row r="306" spans="1:6" ht="11.45" customHeight="1" x14ac:dyDescent="0.2">
      <c r="A306" s="312" t="s">
        <v>743</v>
      </c>
      <c r="B306" s="313" t="s">
        <v>436</v>
      </c>
      <c r="C306" s="312" t="s">
        <v>111</v>
      </c>
      <c r="D306" s="314">
        <v>890</v>
      </c>
      <c r="E306" s="313" t="s">
        <v>944</v>
      </c>
      <c r="F306" s="315" t="str">
        <f>IF(IF(A306="","",COUNTIF(CONSOLIDADO!$A:$A,$A306))=0,"REVISAR","OK")</f>
        <v>OK</v>
      </c>
    </row>
    <row r="307" spans="1:6" ht="11.45" customHeight="1" x14ac:dyDescent="0.2">
      <c r="A307" s="312" t="s">
        <v>743</v>
      </c>
      <c r="B307" s="313" t="s">
        <v>436</v>
      </c>
      <c r="C307" s="312" t="s">
        <v>111</v>
      </c>
      <c r="D307" s="314">
        <v>931</v>
      </c>
      <c r="E307" s="313" t="s">
        <v>2258</v>
      </c>
      <c r="F307" s="315" t="str">
        <f>IF(IF(A307="","",COUNTIF(CONSOLIDADO!$A:$A,$A307))=0,"REVISAR","OK")</f>
        <v>OK</v>
      </c>
    </row>
    <row r="308" spans="1:6" ht="11.45" customHeight="1" x14ac:dyDescent="0.2">
      <c r="A308" s="312" t="s">
        <v>743</v>
      </c>
      <c r="B308" s="313" t="s">
        <v>436</v>
      </c>
      <c r="C308" s="312" t="s">
        <v>111</v>
      </c>
      <c r="D308" s="314">
        <v>975</v>
      </c>
      <c r="E308" s="313" t="s">
        <v>929</v>
      </c>
      <c r="F308" s="315" t="str">
        <f>IF(IF(A308="","",COUNTIF(CONSOLIDADO!$A:$A,$A308))=0,"REVISAR","OK")</f>
        <v>OK</v>
      </c>
    </row>
    <row r="309" spans="1:6" ht="11.45" customHeight="1" x14ac:dyDescent="0.2">
      <c r="A309" s="312" t="s">
        <v>743</v>
      </c>
      <c r="B309" s="313" t="s">
        <v>436</v>
      </c>
      <c r="C309" s="312" t="s">
        <v>111</v>
      </c>
      <c r="D309" s="314">
        <v>1150</v>
      </c>
      <c r="E309" s="313" t="s">
        <v>948</v>
      </c>
      <c r="F309" s="315" t="str">
        <f>IF(IF(A309="","",COUNTIF(CONSOLIDADO!$A:$A,$A309))=0,"REVISAR","OK")</f>
        <v>OK</v>
      </c>
    </row>
    <row r="310" spans="1:6" ht="11.45" customHeight="1" x14ac:dyDescent="0.2">
      <c r="A310" s="312" t="s">
        <v>743</v>
      </c>
      <c r="B310" s="313" t="s">
        <v>436</v>
      </c>
      <c r="C310" s="312" t="s">
        <v>111</v>
      </c>
      <c r="D310" s="314">
        <v>3500</v>
      </c>
      <c r="E310" s="313" t="s">
        <v>948</v>
      </c>
      <c r="F310" s="315" t="str">
        <f>IF(IF(A310="","",COUNTIF(CONSOLIDADO!$A:$A,$A310))=0,"REVISAR","OK")</f>
        <v>OK</v>
      </c>
    </row>
    <row r="311" spans="1:6" ht="11.45" customHeight="1" x14ac:dyDescent="0.2">
      <c r="A311" s="312" t="s">
        <v>748</v>
      </c>
      <c r="B311" s="313" t="s">
        <v>543</v>
      </c>
      <c r="C311" s="312" t="s">
        <v>973</v>
      </c>
      <c r="D311" s="314">
        <v>4060</v>
      </c>
      <c r="E311" s="313" t="s">
        <v>2258</v>
      </c>
      <c r="F311" s="315" t="str">
        <f>IF(IF(A311="","",COUNTIF(CONSOLIDADO!$A:$A,$A311))=0,"REVISAR","OK")</f>
        <v>OK</v>
      </c>
    </row>
    <row r="312" spans="1:6" ht="11.45" customHeight="1" x14ac:dyDescent="0.2">
      <c r="A312" s="312" t="s">
        <v>749</v>
      </c>
      <c r="B312" s="313" t="s">
        <v>544</v>
      </c>
      <c r="C312" s="312" t="s">
        <v>906</v>
      </c>
      <c r="D312" s="314">
        <v>550</v>
      </c>
      <c r="E312" s="313" t="s">
        <v>2073</v>
      </c>
      <c r="F312" s="315" t="str">
        <f>IF(IF(A312="","",COUNTIF(CONSOLIDADO!$A:$A,$A312))=0,"REVISAR","OK")</f>
        <v>OK</v>
      </c>
    </row>
    <row r="313" spans="1:6" ht="11.45" customHeight="1" x14ac:dyDescent="0.2">
      <c r="A313" s="312" t="s">
        <v>758</v>
      </c>
      <c r="B313" s="313" t="s">
        <v>183</v>
      </c>
      <c r="C313" s="312" t="s">
        <v>15</v>
      </c>
      <c r="D313" s="314">
        <v>2153</v>
      </c>
      <c r="E313" s="313" t="s">
        <v>1115</v>
      </c>
      <c r="F313" s="315" t="str">
        <f>IF(IF(A313="","",COUNTIF(CONSOLIDADO!$A:$A,$A313))=0,"REVISAR","OK")</f>
        <v>OK</v>
      </c>
    </row>
    <row r="314" spans="1:6" ht="11.45" customHeight="1" x14ac:dyDescent="0.2">
      <c r="A314" s="312" t="s">
        <v>758</v>
      </c>
      <c r="B314" s="313" t="s">
        <v>183</v>
      </c>
      <c r="C314" s="312" t="s">
        <v>15</v>
      </c>
      <c r="D314" s="314">
        <v>2364</v>
      </c>
      <c r="E314" s="313" t="s">
        <v>2233</v>
      </c>
      <c r="F314" s="315" t="str">
        <f>IF(IF(A314="","",COUNTIF(CONSOLIDADO!$A:$A,$A314))=0,"REVISAR","OK")</f>
        <v>OK</v>
      </c>
    </row>
    <row r="315" spans="1:6" ht="11.45" customHeight="1" x14ac:dyDescent="0.2">
      <c r="A315" s="312" t="s">
        <v>758</v>
      </c>
      <c r="B315" s="313" t="s">
        <v>183</v>
      </c>
      <c r="C315" s="312" t="s">
        <v>15</v>
      </c>
      <c r="D315" s="314">
        <v>2688</v>
      </c>
      <c r="E315" s="313" t="s">
        <v>930</v>
      </c>
      <c r="F315" s="315" t="str">
        <f>IF(IF(A315="","",COUNTIF(CONSOLIDADO!$A:$A,$A315))=0,"REVISAR","OK")</f>
        <v>OK</v>
      </c>
    </row>
    <row r="316" spans="1:6" ht="11.45" customHeight="1" x14ac:dyDescent="0.2">
      <c r="A316" s="312" t="s">
        <v>758</v>
      </c>
      <c r="B316" s="313" t="s">
        <v>183</v>
      </c>
      <c r="C316" s="312" t="s">
        <v>15</v>
      </c>
      <c r="D316" s="314">
        <v>2688</v>
      </c>
      <c r="E316" s="313" t="s">
        <v>953</v>
      </c>
      <c r="F316" s="315" t="str">
        <f>IF(IF(A316="","",COUNTIF(CONSOLIDADO!$A:$A,$A316))=0,"REVISAR","OK")</f>
        <v>OK</v>
      </c>
    </row>
    <row r="317" spans="1:6" ht="11.45" customHeight="1" x14ac:dyDescent="0.2">
      <c r="A317" s="312" t="s">
        <v>758</v>
      </c>
      <c r="B317" s="313" t="s">
        <v>183</v>
      </c>
      <c r="C317" s="312" t="s">
        <v>15</v>
      </c>
      <c r="D317" s="314">
        <v>2990</v>
      </c>
      <c r="E317" s="313" t="s">
        <v>949</v>
      </c>
      <c r="F317" s="315" t="str">
        <f>IF(IF(A317="","",COUNTIF(CONSOLIDADO!$A:$A,$A317))=0,"REVISAR","OK")</f>
        <v>OK</v>
      </c>
    </row>
    <row r="318" spans="1:6" ht="11.45" customHeight="1" x14ac:dyDescent="0.2">
      <c r="A318" s="312" t="s">
        <v>758</v>
      </c>
      <c r="B318" s="313" t="s">
        <v>183</v>
      </c>
      <c r="C318" s="312" t="s">
        <v>15</v>
      </c>
      <c r="D318" s="314">
        <v>3451</v>
      </c>
      <c r="E318" s="313" t="s">
        <v>982</v>
      </c>
      <c r="F318" s="315" t="str">
        <f>IF(IF(A318="","",COUNTIF(CONSOLIDADO!$A:$A,$A318))=0,"REVISAR","OK")</f>
        <v>OK</v>
      </c>
    </row>
    <row r="319" spans="1:6" ht="11.45" customHeight="1" x14ac:dyDescent="0.2">
      <c r="A319" s="312" t="s">
        <v>763</v>
      </c>
      <c r="B319" s="313" t="s">
        <v>990</v>
      </c>
      <c r="C319" s="312" t="s">
        <v>15</v>
      </c>
      <c r="D319" s="314">
        <v>3199</v>
      </c>
      <c r="E319" s="313" t="s">
        <v>945</v>
      </c>
      <c r="F319" s="315" t="str">
        <f>IF(IF(A319="","",COUNTIF(CONSOLIDADO!$A:$A,$A319))=0,"REVISAR","OK")</f>
        <v>OK</v>
      </c>
    </row>
    <row r="320" spans="1:6" ht="11.45" customHeight="1" x14ac:dyDescent="0.2">
      <c r="A320" s="312" t="s">
        <v>763</v>
      </c>
      <c r="B320" s="313" t="s">
        <v>990</v>
      </c>
      <c r="C320" s="312" t="s">
        <v>15</v>
      </c>
      <c r="D320" s="314">
        <v>4284</v>
      </c>
      <c r="E320" s="313" t="s">
        <v>2258</v>
      </c>
      <c r="F320" s="315" t="str">
        <f>IF(IF(A320="","",COUNTIF(CONSOLIDADO!$A:$A,$A320))=0,"REVISAR","OK")</f>
        <v>OK</v>
      </c>
    </row>
    <row r="321" spans="1:6" ht="11.45" customHeight="1" x14ac:dyDescent="0.2">
      <c r="A321" s="312" t="s">
        <v>763</v>
      </c>
      <c r="B321" s="313" t="s">
        <v>990</v>
      </c>
      <c r="C321" s="312" t="s">
        <v>15</v>
      </c>
      <c r="D321" s="314">
        <v>4522</v>
      </c>
      <c r="E321" s="313" t="s">
        <v>929</v>
      </c>
      <c r="F321" s="315" t="str">
        <f>IF(IF(A321="","",COUNTIF(CONSOLIDADO!$A:$A,$A321))=0,"REVISAR","OK")</f>
        <v>OK</v>
      </c>
    </row>
    <row r="322" spans="1:6" ht="11.45" customHeight="1" x14ac:dyDescent="0.2">
      <c r="A322" s="312" t="s">
        <v>763</v>
      </c>
      <c r="B322" s="313" t="s">
        <v>990</v>
      </c>
      <c r="C322" s="312" t="s">
        <v>15</v>
      </c>
      <c r="D322" s="314">
        <v>4522</v>
      </c>
      <c r="E322" s="313" t="s">
        <v>932</v>
      </c>
      <c r="F322" s="315" t="str">
        <f>IF(IF(A322="","",COUNTIF(CONSOLIDADO!$A:$A,$A322))=0,"REVISAR","OK")</f>
        <v>OK</v>
      </c>
    </row>
    <row r="323" spans="1:6" ht="11.45" customHeight="1" x14ac:dyDescent="0.2">
      <c r="A323" s="312" t="s">
        <v>763</v>
      </c>
      <c r="B323" s="313" t="s">
        <v>990</v>
      </c>
      <c r="C323" s="312" t="s">
        <v>15</v>
      </c>
      <c r="D323" s="314">
        <v>4522</v>
      </c>
      <c r="E323" s="313" t="s">
        <v>1115</v>
      </c>
      <c r="F323" s="315" t="str">
        <f>IF(IF(A323="","",COUNTIF(CONSOLIDADO!$A:$A,$A323))=0,"REVISAR","OK")</f>
        <v>OK</v>
      </c>
    </row>
    <row r="324" spans="1:6" ht="11.45" customHeight="1" x14ac:dyDescent="0.2">
      <c r="A324" s="312" t="s">
        <v>763</v>
      </c>
      <c r="B324" s="313" t="s">
        <v>990</v>
      </c>
      <c r="C324" s="312" t="s">
        <v>15</v>
      </c>
      <c r="D324" s="314">
        <v>5000</v>
      </c>
      <c r="E324" s="313" t="s">
        <v>944</v>
      </c>
      <c r="F324" s="315" t="str">
        <f>IF(IF(A324="","",COUNTIF(CONSOLIDADO!$A:$A,$A324))=0,"REVISAR","OK")</f>
        <v>OK</v>
      </c>
    </row>
    <row r="325" spans="1:6" ht="11.45" customHeight="1" x14ac:dyDescent="0.2">
      <c r="A325" s="312" t="s">
        <v>763</v>
      </c>
      <c r="B325" s="313" t="s">
        <v>990</v>
      </c>
      <c r="C325" s="312" t="s">
        <v>15</v>
      </c>
      <c r="D325" s="314">
        <v>5100</v>
      </c>
      <c r="E325" s="313" t="s">
        <v>936</v>
      </c>
      <c r="F325" s="315" t="str">
        <f>IF(IF(A325="","",COUNTIF(CONSOLIDADO!$A:$A,$A325))=0,"REVISAR","OK")</f>
        <v>OK</v>
      </c>
    </row>
    <row r="326" spans="1:6" ht="11.45" customHeight="1" x14ac:dyDescent="0.2">
      <c r="A326" s="312" t="s">
        <v>763</v>
      </c>
      <c r="B326" s="313" t="s">
        <v>990</v>
      </c>
      <c r="C326" s="312" t="s">
        <v>15</v>
      </c>
      <c r="D326" s="314">
        <v>5200</v>
      </c>
      <c r="E326" s="313" t="s">
        <v>930</v>
      </c>
      <c r="F326" s="315" t="str">
        <f>IF(IF(A326="","",COUNTIF(CONSOLIDADO!$A:$A,$A326))=0,"REVISAR","OK")</f>
        <v>OK</v>
      </c>
    </row>
    <row r="327" spans="1:6" ht="11.45" customHeight="1" x14ac:dyDescent="0.2">
      <c r="A327" s="312" t="s">
        <v>763</v>
      </c>
      <c r="B327" s="313" t="s">
        <v>990</v>
      </c>
      <c r="C327" s="312" t="s">
        <v>15</v>
      </c>
      <c r="D327" s="314">
        <v>5355</v>
      </c>
      <c r="E327" s="313" t="s">
        <v>938</v>
      </c>
      <c r="F327" s="315" t="str">
        <f>IF(IF(A327="","",COUNTIF(CONSOLIDADO!$A:$A,$A327))=0,"REVISAR","OK")</f>
        <v>OK</v>
      </c>
    </row>
    <row r="328" spans="1:6" ht="11.45" customHeight="1" x14ac:dyDescent="0.2">
      <c r="A328" s="312" t="s">
        <v>763</v>
      </c>
      <c r="B328" s="313" t="s">
        <v>990</v>
      </c>
      <c r="C328" s="312" t="s">
        <v>15</v>
      </c>
      <c r="D328" s="314">
        <v>6190</v>
      </c>
      <c r="E328" s="313" t="s">
        <v>945</v>
      </c>
      <c r="F328" s="315" t="str">
        <f>IF(IF(A328="","",COUNTIF(CONSOLIDADO!$A:$A,$A328))=0,"REVISAR","OK")</f>
        <v>OK</v>
      </c>
    </row>
    <row r="329" spans="1:6" ht="11.45" customHeight="1" x14ac:dyDescent="0.2">
      <c r="A329" s="312" t="s">
        <v>763</v>
      </c>
      <c r="B329" s="313" t="s">
        <v>990</v>
      </c>
      <c r="C329" s="312" t="s">
        <v>15</v>
      </c>
      <c r="D329" s="314">
        <v>6200</v>
      </c>
      <c r="E329" s="313" t="s">
        <v>974</v>
      </c>
      <c r="F329" s="315" t="str">
        <f>IF(IF(A329="","",COUNTIF(CONSOLIDADO!$A:$A,$A329))=0,"REVISAR","OK")</f>
        <v>OK</v>
      </c>
    </row>
    <row r="330" spans="1:6" ht="11.45" customHeight="1" x14ac:dyDescent="0.2">
      <c r="A330" s="312" t="s">
        <v>763</v>
      </c>
      <c r="B330" s="313" t="s">
        <v>990</v>
      </c>
      <c r="C330" s="312" t="s">
        <v>15</v>
      </c>
      <c r="D330" s="314">
        <v>6236</v>
      </c>
      <c r="E330" s="313" t="s">
        <v>934</v>
      </c>
      <c r="F330" s="315" t="str">
        <f>IF(IF(A330="","",COUNTIF(CONSOLIDADO!$A:$A,$A330))=0,"REVISAR","OK")</f>
        <v>OK</v>
      </c>
    </row>
    <row r="331" spans="1:6" ht="11.45" customHeight="1" x14ac:dyDescent="0.2">
      <c r="A331" s="312" t="s">
        <v>763</v>
      </c>
      <c r="B331" s="313" t="s">
        <v>990</v>
      </c>
      <c r="C331" s="312" t="s">
        <v>15</v>
      </c>
      <c r="D331" s="314">
        <v>6889</v>
      </c>
      <c r="E331" s="313" t="s">
        <v>950</v>
      </c>
      <c r="F331" s="315" t="str">
        <f>IF(IF(A331="","",COUNTIF(CONSOLIDADO!$A:$A,$A331))=0,"REVISAR","OK")</f>
        <v>OK</v>
      </c>
    </row>
    <row r="332" spans="1:6" ht="11.45" customHeight="1" x14ac:dyDescent="0.2">
      <c r="A332" s="312" t="s">
        <v>763</v>
      </c>
      <c r="B332" s="313" t="s">
        <v>990</v>
      </c>
      <c r="C332" s="312" t="s">
        <v>15</v>
      </c>
      <c r="D332" s="314">
        <v>8925</v>
      </c>
      <c r="E332" s="313" t="s">
        <v>2238</v>
      </c>
      <c r="F332" s="315" t="str">
        <f>IF(IF(A332="","",COUNTIF(CONSOLIDADO!$A:$A,$A332))=0,"REVISAR","OK")</f>
        <v>OK</v>
      </c>
    </row>
    <row r="333" spans="1:6" ht="11.45" customHeight="1" x14ac:dyDescent="0.2">
      <c r="A333" s="312" t="s">
        <v>763</v>
      </c>
      <c r="B333" s="313" t="s">
        <v>990</v>
      </c>
      <c r="C333" s="312" t="s">
        <v>15</v>
      </c>
      <c r="D333" s="314">
        <v>9493</v>
      </c>
      <c r="E333" s="313" t="s">
        <v>948</v>
      </c>
      <c r="F333" s="315" t="str">
        <f>IF(IF(A333="","",COUNTIF(CONSOLIDADO!$A:$A,$A333))=0,"REVISAR","OK")</f>
        <v>OK</v>
      </c>
    </row>
    <row r="334" spans="1:6" ht="11.45" customHeight="1" x14ac:dyDescent="0.2">
      <c r="A334" s="312" t="s">
        <v>766</v>
      </c>
      <c r="B334" s="313" t="s">
        <v>151</v>
      </c>
      <c r="C334" s="312" t="s">
        <v>111</v>
      </c>
      <c r="D334" s="314">
        <v>194</v>
      </c>
      <c r="E334" s="313" t="s">
        <v>944</v>
      </c>
      <c r="F334" s="315" t="str">
        <f>IF(IF(A334="","",COUNTIF(CONSOLIDADO!$A:$A,$A334))=0,"REVISAR","OK")</f>
        <v>OK</v>
      </c>
    </row>
    <row r="335" spans="1:6" ht="11.45" customHeight="1" x14ac:dyDescent="0.2">
      <c r="A335" s="312" t="s">
        <v>766</v>
      </c>
      <c r="B335" s="313" t="s">
        <v>151</v>
      </c>
      <c r="C335" s="312" t="s">
        <v>111</v>
      </c>
      <c r="D335" s="314">
        <v>194</v>
      </c>
      <c r="E335" s="313" t="s">
        <v>944</v>
      </c>
      <c r="F335" s="315" t="str">
        <f>IF(IF(A335="","",COUNTIF(CONSOLIDADO!$A:$A,$A335))=0,"REVISAR","OK")</f>
        <v>OK</v>
      </c>
    </row>
    <row r="336" spans="1:6" ht="11.45" customHeight="1" x14ac:dyDescent="0.2">
      <c r="A336" s="312" t="s">
        <v>766</v>
      </c>
      <c r="B336" s="313" t="s">
        <v>151</v>
      </c>
      <c r="C336" s="312" t="s">
        <v>111</v>
      </c>
      <c r="D336" s="314">
        <v>199</v>
      </c>
      <c r="E336" s="313" t="s">
        <v>948</v>
      </c>
      <c r="F336" s="315" t="str">
        <f>IF(IF(A336="","",COUNTIF(CONSOLIDADO!$A:$A,$A336))=0,"REVISAR","OK")</f>
        <v>OK</v>
      </c>
    </row>
    <row r="337" spans="1:6" ht="11.45" customHeight="1" x14ac:dyDescent="0.2">
      <c r="A337" s="312" t="s">
        <v>766</v>
      </c>
      <c r="B337" s="313" t="s">
        <v>151</v>
      </c>
      <c r="C337" s="312" t="s">
        <v>111</v>
      </c>
      <c r="D337" s="314">
        <v>202</v>
      </c>
      <c r="E337" s="313" t="s">
        <v>2146</v>
      </c>
      <c r="F337" s="315" t="str">
        <f>IF(IF(A337="","",COUNTIF(CONSOLIDADO!$A:$A,$A337))=0,"REVISAR","OK")</f>
        <v>OK</v>
      </c>
    </row>
    <row r="338" spans="1:6" ht="11.45" customHeight="1" x14ac:dyDescent="0.2">
      <c r="A338" s="312" t="s">
        <v>766</v>
      </c>
      <c r="B338" s="313" t="s">
        <v>151</v>
      </c>
      <c r="C338" s="312" t="s">
        <v>111</v>
      </c>
      <c r="D338" s="314">
        <v>206</v>
      </c>
      <c r="E338" s="313" t="s">
        <v>932</v>
      </c>
      <c r="F338" s="315" t="str">
        <f>IF(IF(A338="","",COUNTIF(CONSOLIDADO!$A:$A,$A338))=0,"REVISAR","OK")</f>
        <v>OK</v>
      </c>
    </row>
    <row r="339" spans="1:6" ht="11.45" customHeight="1" x14ac:dyDescent="0.2">
      <c r="A339" s="312" t="s">
        <v>766</v>
      </c>
      <c r="B339" s="313" t="s">
        <v>151</v>
      </c>
      <c r="C339" s="312" t="s">
        <v>111</v>
      </c>
      <c r="D339" s="314">
        <v>214</v>
      </c>
      <c r="E339" s="313" t="s">
        <v>935</v>
      </c>
      <c r="F339" s="315" t="str">
        <f>IF(IF(A339="","",COUNTIF(CONSOLIDADO!$A:$A,$A339))=0,"REVISAR","OK")</f>
        <v>OK</v>
      </c>
    </row>
    <row r="340" spans="1:6" ht="11.45" customHeight="1" x14ac:dyDescent="0.2">
      <c r="A340" s="312" t="s">
        <v>766</v>
      </c>
      <c r="B340" s="313" t="s">
        <v>151</v>
      </c>
      <c r="C340" s="312" t="s">
        <v>111</v>
      </c>
      <c r="D340" s="314">
        <v>221</v>
      </c>
      <c r="E340" s="313" t="s">
        <v>2233</v>
      </c>
      <c r="F340" s="315" t="str">
        <f>IF(IF(A340="","",COUNTIF(CONSOLIDADO!$A:$A,$A340))=0,"REVISAR","OK")</f>
        <v>OK</v>
      </c>
    </row>
    <row r="341" spans="1:6" ht="11.45" customHeight="1" x14ac:dyDescent="0.2">
      <c r="A341" s="312" t="s">
        <v>766</v>
      </c>
      <c r="B341" s="313" t="s">
        <v>151</v>
      </c>
      <c r="C341" s="312" t="s">
        <v>111</v>
      </c>
      <c r="D341" s="314">
        <v>226</v>
      </c>
      <c r="E341" s="313" t="s">
        <v>929</v>
      </c>
      <c r="F341" s="315" t="str">
        <f>IF(IF(A341="","",COUNTIF(CONSOLIDADO!$A:$A,$A341))=0,"REVISAR","OK")</f>
        <v>OK</v>
      </c>
    </row>
    <row r="342" spans="1:6" ht="11.45" customHeight="1" x14ac:dyDescent="0.2">
      <c r="A342" s="312" t="s">
        <v>766</v>
      </c>
      <c r="B342" s="313" t="s">
        <v>151</v>
      </c>
      <c r="C342" s="312" t="s">
        <v>111</v>
      </c>
      <c r="D342" s="314">
        <v>226</v>
      </c>
      <c r="E342" s="313" t="s">
        <v>939</v>
      </c>
      <c r="F342" s="315" t="str">
        <f>IF(IF(A342="","",COUNTIF(CONSOLIDADO!$A:$A,$A342))=0,"REVISAR","OK")</f>
        <v>OK</v>
      </c>
    </row>
    <row r="343" spans="1:6" ht="11.45" customHeight="1" x14ac:dyDescent="0.2">
      <c r="A343" s="312" t="s">
        <v>766</v>
      </c>
      <c r="B343" s="313" t="s">
        <v>151</v>
      </c>
      <c r="C343" s="312" t="s">
        <v>111</v>
      </c>
      <c r="D343" s="314">
        <v>227</v>
      </c>
      <c r="E343" s="313" t="s">
        <v>937</v>
      </c>
      <c r="F343" s="315" t="str">
        <f>IF(IF(A343="","",COUNTIF(CONSOLIDADO!$A:$A,$A343))=0,"REVISAR","OK")</f>
        <v>OK</v>
      </c>
    </row>
    <row r="344" spans="1:6" ht="11.45" customHeight="1" x14ac:dyDescent="0.2">
      <c r="A344" s="312" t="s">
        <v>766</v>
      </c>
      <c r="B344" s="313" t="s">
        <v>151</v>
      </c>
      <c r="C344" s="312" t="s">
        <v>111</v>
      </c>
      <c r="D344" s="314">
        <v>227</v>
      </c>
      <c r="E344" s="313" t="s">
        <v>2005</v>
      </c>
      <c r="F344" s="315" t="str">
        <f>IF(IF(A344="","",COUNTIF(CONSOLIDADO!$A:$A,$A344))=0,"REVISAR","OK")</f>
        <v>OK</v>
      </c>
    </row>
    <row r="345" spans="1:6" ht="11.45" customHeight="1" x14ac:dyDescent="0.2">
      <c r="A345" s="312" t="s">
        <v>766</v>
      </c>
      <c r="B345" s="313" t="s">
        <v>151</v>
      </c>
      <c r="C345" s="312" t="s">
        <v>111</v>
      </c>
      <c r="D345" s="314">
        <v>232</v>
      </c>
      <c r="E345" s="313" t="s">
        <v>951</v>
      </c>
      <c r="F345" s="315" t="str">
        <f>IF(IF(A345="","",COUNTIF(CONSOLIDADO!$A:$A,$A345))=0,"REVISAR","OK")</f>
        <v>OK</v>
      </c>
    </row>
    <row r="346" spans="1:6" ht="11.45" customHeight="1" x14ac:dyDescent="0.2">
      <c r="A346" s="312" t="s">
        <v>766</v>
      </c>
      <c r="B346" s="313" t="s">
        <v>151</v>
      </c>
      <c r="C346" s="312" t="s">
        <v>111</v>
      </c>
      <c r="D346" s="314">
        <v>233</v>
      </c>
      <c r="E346" s="313" t="s">
        <v>935</v>
      </c>
      <c r="F346" s="315" t="str">
        <f>IF(IF(A346="","",COUNTIF(CONSOLIDADO!$A:$A,$A346))=0,"REVISAR","OK")</f>
        <v>OK</v>
      </c>
    </row>
    <row r="347" spans="1:6" ht="11.45" customHeight="1" x14ac:dyDescent="0.2">
      <c r="A347" s="312" t="s">
        <v>766</v>
      </c>
      <c r="B347" s="313" t="s">
        <v>151</v>
      </c>
      <c r="C347" s="312" t="s">
        <v>111</v>
      </c>
      <c r="D347" s="314">
        <v>233</v>
      </c>
      <c r="E347" s="313" t="s">
        <v>935</v>
      </c>
      <c r="F347" s="315" t="str">
        <f>IF(IF(A347="","",COUNTIF(CONSOLIDADO!$A:$A,$A347))=0,"REVISAR","OK")</f>
        <v>OK</v>
      </c>
    </row>
    <row r="348" spans="1:6" ht="11.45" customHeight="1" x14ac:dyDescent="0.2">
      <c r="A348" s="312" t="s">
        <v>766</v>
      </c>
      <c r="B348" s="313" t="s">
        <v>151</v>
      </c>
      <c r="C348" s="312" t="s">
        <v>111</v>
      </c>
      <c r="D348" s="314">
        <v>238</v>
      </c>
      <c r="E348" s="313" t="s">
        <v>935</v>
      </c>
      <c r="F348" s="315" t="str">
        <f>IF(IF(A348="","",COUNTIF(CONSOLIDADO!$A:$A,$A348))=0,"REVISAR","OK")</f>
        <v>OK</v>
      </c>
    </row>
    <row r="349" spans="1:6" ht="11.45" customHeight="1" x14ac:dyDescent="0.2">
      <c r="A349" s="312" t="s">
        <v>766</v>
      </c>
      <c r="B349" s="313" t="s">
        <v>151</v>
      </c>
      <c r="C349" s="312" t="s">
        <v>111</v>
      </c>
      <c r="D349" s="314">
        <v>238</v>
      </c>
      <c r="E349" s="313" t="s">
        <v>2258</v>
      </c>
      <c r="F349" s="315" t="str">
        <f>IF(IF(A349="","",COUNTIF(CONSOLIDADO!$A:$A,$A349))=0,"REVISAR","OK")</f>
        <v>OK</v>
      </c>
    </row>
    <row r="350" spans="1:6" ht="11.45" customHeight="1" x14ac:dyDescent="0.2">
      <c r="A350" s="312" t="s">
        <v>766</v>
      </c>
      <c r="B350" s="313" t="s">
        <v>151</v>
      </c>
      <c r="C350" s="312" t="s">
        <v>111</v>
      </c>
      <c r="D350" s="314">
        <v>239</v>
      </c>
      <c r="E350" s="313" t="s">
        <v>2329</v>
      </c>
      <c r="F350" s="315" t="str">
        <f>IF(IF(A350="","",COUNTIF(CONSOLIDADO!$A:$A,$A350))=0,"REVISAR","OK")</f>
        <v>OK</v>
      </c>
    </row>
    <row r="351" spans="1:6" ht="11.45" customHeight="1" x14ac:dyDescent="0.2">
      <c r="A351" s="312" t="s">
        <v>766</v>
      </c>
      <c r="B351" s="313" t="s">
        <v>151</v>
      </c>
      <c r="C351" s="312" t="s">
        <v>111</v>
      </c>
      <c r="D351" s="314">
        <v>243</v>
      </c>
      <c r="E351" s="313" t="s">
        <v>2210</v>
      </c>
      <c r="F351" s="315" t="str">
        <f>IF(IF(A351="","",COUNTIF(CONSOLIDADO!$A:$A,$A351))=0,"REVISAR","OK")</f>
        <v>OK</v>
      </c>
    </row>
    <row r="352" spans="1:6" ht="11.45" customHeight="1" x14ac:dyDescent="0.2">
      <c r="A352" s="312" t="s">
        <v>766</v>
      </c>
      <c r="B352" s="313" t="s">
        <v>151</v>
      </c>
      <c r="C352" s="312" t="s">
        <v>111</v>
      </c>
      <c r="D352" s="314">
        <v>244</v>
      </c>
      <c r="E352" s="313" t="s">
        <v>2073</v>
      </c>
      <c r="F352" s="315" t="str">
        <f>IF(IF(A352="","",COUNTIF(CONSOLIDADO!$A:$A,$A352))=0,"REVISAR","OK")</f>
        <v>OK</v>
      </c>
    </row>
    <row r="353" spans="1:6" ht="11.45" customHeight="1" x14ac:dyDescent="0.2">
      <c r="A353" s="312" t="s">
        <v>766</v>
      </c>
      <c r="B353" s="313" t="s">
        <v>151</v>
      </c>
      <c r="C353" s="312" t="s">
        <v>111</v>
      </c>
      <c r="D353" s="314">
        <v>250</v>
      </c>
      <c r="E353" s="313" t="s">
        <v>976</v>
      </c>
      <c r="F353" s="315" t="str">
        <f>IF(IF(A353="","",COUNTIF(CONSOLIDADO!$A:$A,$A353))=0,"REVISAR","OK")</f>
        <v>OK</v>
      </c>
    </row>
    <row r="354" spans="1:6" ht="11.45" customHeight="1" x14ac:dyDescent="0.2">
      <c r="A354" s="312" t="s">
        <v>766</v>
      </c>
      <c r="B354" s="313" t="s">
        <v>151</v>
      </c>
      <c r="C354" s="312" t="s">
        <v>111</v>
      </c>
      <c r="D354" s="314">
        <v>250</v>
      </c>
      <c r="E354" s="313" t="s">
        <v>940</v>
      </c>
      <c r="F354" s="315" t="str">
        <f>IF(IF(A354="","",COUNTIF(CONSOLIDADO!$A:$A,$A354))=0,"REVISAR","OK")</f>
        <v>OK</v>
      </c>
    </row>
    <row r="355" spans="1:6" ht="11.45" customHeight="1" x14ac:dyDescent="0.2">
      <c r="A355" s="312" t="s">
        <v>766</v>
      </c>
      <c r="B355" s="313" t="s">
        <v>151</v>
      </c>
      <c r="C355" s="312" t="s">
        <v>111</v>
      </c>
      <c r="D355" s="314">
        <v>250</v>
      </c>
      <c r="E355" s="313" t="s">
        <v>974</v>
      </c>
      <c r="F355" s="315" t="str">
        <f>IF(IF(A355="","",COUNTIF(CONSOLIDADO!$A:$A,$A355))=0,"REVISAR","OK")</f>
        <v>OK</v>
      </c>
    </row>
    <row r="356" spans="1:6" ht="11.45" customHeight="1" x14ac:dyDescent="0.2">
      <c r="A356" s="312" t="s">
        <v>766</v>
      </c>
      <c r="B356" s="313" t="s">
        <v>151</v>
      </c>
      <c r="C356" s="312" t="s">
        <v>111</v>
      </c>
      <c r="D356" s="314">
        <v>250</v>
      </c>
      <c r="E356" s="313" t="s">
        <v>946</v>
      </c>
      <c r="F356" s="315" t="str">
        <f>IF(IF(A356="","",COUNTIF(CONSOLIDADO!$A:$A,$A356))=0,"REVISAR","OK")</f>
        <v>OK</v>
      </c>
    </row>
    <row r="357" spans="1:6" ht="11.45" customHeight="1" x14ac:dyDescent="0.2">
      <c r="A357" s="312" t="s">
        <v>766</v>
      </c>
      <c r="B357" s="313" t="s">
        <v>151</v>
      </c>
      <c r="C357" s="312" t="s">
        <v>111</v>
      </c>
      <c r="D357" s="314">
        <v>253</v>
      </c>
      <c r="E357" s="313" t="s">
        <v>929</v>
      </c>
      <c r="F357" s="315" t="str">
        <f>IF(IF(A357="","",COUNTIF(CONSOLIDADO!$A:$A,$A357))=0,"REVISAR","OK")</f>
        <v>OK</v>
      </c>
    </row>
    <row r="358" spans="1:6" ht="11.45" customHeight="1" x14ac:dyDescent="0.2">
      <c r="A358" s="312" t="s">
        <v>766</v>
      </c>
      <c r="B358" s="313" t="s">
        <v>151</v>
      </c>
      <c r="C358" s="312" t="s">
        <v>111</v>
      </c>
      <c r="D358" s="314">
        <v>269</v>
      </c>
      <c r="E358" s="313" t="s">
        <v>2070</v>
      </c>
      <c r="F358" s="315" t="str">
        <f>IF(IF(A358="","",COUNTIF(CONSOLIDADO!$A:$A,$A358))=0,"REVISAR","OK")</f>
        <v>OK</v>
      </c>
    </row>
    <row r="359" spans="1:6" ht="11.45" customHeight="1" x14ac:dyDescent="0.2">
      <c r="A359" s="312" t="s">
        <v>766</v>
      </c>
      <c r="B359" s="313" t="s">
        <v>151</v>
      </c>
      <c r="C359" s="312" t="s">
        <v>111</v>
      </c>
      <c r="D359" s="314">
        <v>269</v>
      </c>
      <c r="E359" s="313" t="s">
        <v>931</v>
      </c>
      <c r="F359" s="315" t="str">
        <f>IF(IF(A359="","",COUNTIF(CONSOLIDADO!$A:$A,$A359))=0,"REVISAR","OK")</f>
        <v>OK</v>
      </c>
    </row>
    <row r="360" spans="1:6" ht="11.45" customHeight="1" x14ac:dyDescent="0.2">
      <c r="A360" s="312" t="s">
        <v>766</v>
      </c>
      <c r="B360" s="313" t="s">
        <v>151</v>
      </c>
      <c r="C360" s="312" t="s">
        <v>111</v>
      </c>
      <c r="D360" s="314">
        <v>269</v>
      </c>
      <c r="E360" s="313" t="s">
        <v>950</v>
      </c>
      <c r="F360" s="315" t="str">
        <f>IF(IF(A360="","",COUNTIF(CONSOLIDADO!$A:$A,$A360))=0,"REVISAR","OK")</f>
        <v>OK</v>
      </c>
    </row>
    <row r="361" spans="1:6" ht="11.45" customHeight="1" x14ac:dyDescent="0.2">
      <c r="A361" s="312" t="s">
        <v>766</v>
      </c>
      <c r="B361" s="313" t="s">
        <v>151</v>
      </c>
      <c r="C361" s="312" t="s">
        <v>111</v>
      </c>
      <c r="D361" s="314">
        <v>273</v>
      </c>
      <c r="E361" s="313" t="s">
        <v>943</v>
      </c>
      <c r="F361" s="315" t="str">
        <f>IF(IF(A361="","",COUNTIF(CONSOLIDADO!$A:$A,$A361))=0,"REVISAR","OK")</f>
        <v>OK</v>
      </c>
    </row>
    <row r="362" spans="1:6" ht="11.45" customHeight="1" x14ac:dyDescent="0.2">
      <c r="A362" s="312" t="s">
        <v>766</v>
      </c>
      <c r="B362" s="313" t="s">
        <v>151</v>
      </c>
      <c r="C362" s="312" t="s">
        <v>111</v>
      </c>
      <c r="D362" s="314">
        <v>273</v>
      </c>
      <c r="E362" s="313" t="s">
        <v>952</v>
      </c>
      <c r="F362" s="315" t="str">
        <f>IF(IF(A362="","",COUNTIF(CONSOLIDADO!$A:$A,$A362))=0,"REVISAR","OK")</f>
        <v>OK</v>
      </c>
    </row>
    <row r="363" spans="1:6" ht="11.45" customHeight="1" x14ac:dyDescent="0.2">
      <c r="A363" s="312" t="s">
        <v>766</v>
      </c>
      <c r="B363" s="313" t="s">
        <v>151</v>
      </c>
      <c r="C363" s="312" t="s">
        <v>111</v>
      </c>
      <c r="D363" s="314">
        <v>288</v>
      </c>
      <c r="E363" s="313" t="s">
        <v>936</v>
      </c>
      <c r="F363" s="315" t="str">
        <f>IF(IF(A363="","",COUNTIF(CONSOLIDADO!$A:$A,$A363))=0,"REVISAR","OK")</f>
        <v>OK</v>
      </c>
    </row>
    <row r="364" spans="1:6" ht="11.45" customHeight="1" x14ac:dyDescent="0.2">
      <c r="A364" s="312" t="s">
        <v>766</v>
      </c>
      <c r="B364" s="313" t="s">
        <v>151</v>
      </c>
      <c r="C364" s="312" t="s">
        <v>111</v>
      </c>
      <c r="D364" s="314">
        <v>288</v>
      </c>
      <c r="E364" s="313" t="s">
        <v>936</v>
      </c>
      <c r="F364" s="315" t="str">
        <f>IF(IF(A364="","",COUNTIF(CONSOLIDADO!$A:$A,$A364))=0,"REVISAR","OK")</f>
        <v>OK</v>
      </c>
    </row>
    <row r="365" spans="1:6" ht="11.45" customHeight="1" x14ac:dyDescent="0.2">
      <c r="A365" s="312" t="s">
        <v>766</v>
      </c>
      <c r="B365" s="313" t="s">
        <v>151</v>
      </c>
      <c r="C365" s="312" t="s">
        <v>111</v>
      </c>
      <c r="D365" s="314">
        <v>294</v>
      </c>
      <c r="E365" s="313" t="s">
        <v>2276</v>
      </c>
      <c r="F365" s="315" t="str">
        <f>IF(IF(A365="","",COUNTIF(CONSOLIDADO!$A:$A,$A365))=0,"REVISAR","OK")</f>
        <v>OK</v>
      </c>
    </row>
    <row r="366" spans="1:6" ht="11.45" customHeight="1" x14ac:dyDescent="0.2">
      <c r="A366" s="312" t="s">
        <v>766</v>
      </c>
      <c r="B366" s="313" t="s">
        <v>151</v>
      </c>
      <c r="C366" s="312" t="s">
        <v>111</v>
      </c>
      <c r="D366" s="314">
        <v>299</v>
      </c>
      <c r="E366" s="313" t="s">
        <v>948</v>
      </c>
      <c r="F366" s="315" t="str">
        <f>IF(IF(A366="","",COUNTIF(CONSOLIDADO!$A:$A,$A366))=0,"REVISAR","OK")</f>
        <v>OK</v>
      </c>
    </row>
    <row r="367" spans="1:6" ht="11.45" customHeight="1" x14ac:dyDescent="0.2">
      <c r="A367" s="312" t="s">
        <v>766</v>
      </c>
      <c r="B367" s="313" t="s">
        <v>151</v>
      </c>
      <c r="C367" s="312" t="s">
        <v>111</v>
      </c>
      <c r="D367" s="314">
        <v>300</v>
      </c>
      <c r="E367" s="313" t="s">
        <v>2211</v>
      </c>
      <c r="F367" s="315" t="str">
        <f>IF(IF(A367="","",COUNTIF(CONSOLIDADO!$A:$A,$A367))=0,"REVISAR","OK")</f>
        <v>OK</v>
      </c>
    </row>
    <row r="368" spans="1:6" ht="11.45" customHeight="1" x14ac:dyDescent="0.2">
      <c r="A368" s="312" t="s">
        <v>766</v>
      </c>
      <c r="B368" s="313" t="s">
        <v>151</v>
      </c>
      <c r="C368" s="312" t="s">
        <v>111</v>
      </c>
      <c r="D368" s="314">
        <v>345</v>
      </c>
      <c r="E368" s="313" t="s">
        <v>2258</v>
      </c>
      <c r="F368" s="315" t="str">
        <f>IF(IF(A368="","",COUNTIF(CONSOLIDADO!$A:$A,$A368))=0,"REVISAR","OK")</f>
        <v>OK</v>
      </c>
    </row>
    <row r="369" spans="1:6" ht="11.45" customHeight="1" x14ac:dyDescent="0.2">
      <c r="A369" s="312" t="s">
        <v>766</v>
      </c>
      <c r="B369" s="313" t="s">
        <v>151</v>
      </c>
      <c r="C369" s="312" t="s">
        <v>111</v>
      </c>
      <c r="D369" s="314">
        <v>450</v>
      </c>
      <c r="E369" s="313" t="s">
        <v>2232</v>
      </c>
      <c r="F369" s="315" t="str">
        <f>IF(IF(A369="","",COUNTIF(CONSOLIDADO!$A:$A,$A369))=0,"REVISAR","OK")</f>
        <v>OK</v>
      </c>
    </row>
    <row r="370" spans="1:6" ht="11.45" customHeight="1" x14ac:dyDescent="0.2">
      <c r="A370" s="312" t="s">
        <v>991</v>
      </c>
      <c r="B370" s="313" t="s">
        <v>992</v>
      </c>
      <c r="C370" s="312" t="s">
        <v>15</v>
      </c>
      <c r="D370" s="314">
        <v>11280</v>
      </c>
      <c r="E370" s="313" t="s">
        <v>930</v>
      </c>
      <c r="F370" s="315" t="str">
        <f>IF(IF(A370="","",COUNTIF(CONSOLIDADO!$A:$A,$A370))=0,"REVISAR","OK")</f>
        <v>OK</v>
      </c>
    </row>
    <row r="371" spans="1:6" ht="11.45" customHeight="1" x14ac:dyDescent="0.2">
      <c r="A371" s="312" t="s">
        <v>769</v>
      </c>
      <c r="B371" s="313" t="s">
        <v>553</v>
      </c>
      <c r="C371" s="312" t="s">
        <v>15</v>
      </c>
      <c r="D371" s="314">
        <v>5950</v>
      </c>
      <c r="E371" s="313" t="s">
        <v>982</v>
      </c>
      <c r="F371" s="315" t="str">
        <f>IF(IF(A371="","",COUNTIF(CONSOLIDADO!$A:$A,$A371))=0,"REVISAR","OK")</f>
        <v>OK</v>
      </c>
    </row>
    <row r="372" spans="1:6" ht="11.45" customHeight="1" x14ac:dyDescent="0.2">
      <c r="A372" s="312" t="s">
        <v>769</v>
      </c>
      <c r="B372" s="313" t="s">
        <v>553</v>
      </c>
      <c r="C372" s="312" t="s">
        <v>15</v>
      </c>
      <c r="D372" s="314">
        <v>6057</v>
      </c>
      <c r="E372" s="313" t="s">
        <v>2233</v>
      </c>
      <c r="F372" s="315" t="str">
        <f>IF(IF(A372="","",COUNTIF(CONSOLIDADO!$A:$A,$A372))=0,"REVISAR","OK")</f>
        <v>OK</v>
      </c>
    </row>
    <row r="373" spans="1:6" ht="11.45" customHeight="1" x14ac:dyDescent="0.2">
      <c r="A373" s="312" t="s">
        <v>769</v>
      </c>
      <c r="B373" s="313" t="s">
        <v>553</v>
      </c>
      <c r="C373" s="312" t="s">
        <v>15</v>
      </c>
      <c r="D373" s="314">
        <v>6621</v>
      </c>
      <c r="E373" s="313" t="s">
        <v>2070</v>
      </c>
      <c r="F373" s="315" t="str">
        <f>IF(IF(A373="","",COUNTIF(CONSOLIDADO!$A:$A,$A373))=0,"REVISAR","OK")</f>
        <v>OK</v>
      </c>
    </row>
    <row r="374" spans="1:6" ht="11.45" customHeight="1" x14ac:dyDescent="0.2">
      <c r="A374" s="312" t="s">
        <v>769</v>
      </c>
      <c r="B374" s="313" t="s">
        <v>553</v>
      </c>
      <c r="C374" s="312" t="s">
        <v>15</v>
      </c>
      <c r="D374" s="314">
        <v>7183</v>
      </c>
      <c r="E374" s="313" t="s">
        <v>935</v>
      </c>
      <c r="F374" s="315" t="str">
        <f>IF(IF(A374="","",COUNTIF(CONSOLIDADO!$A:$A,$A374))=0,"REVISAR","OK")</f>
        <v>OK</v>
      </c>
    </row>
    <row r="375" spans="1:6" ht="11.45" customHeight="1" x14ac:dyDescent="0.2">
      <c r="A375" s="312" t="s">
        <v>769</v>
      </c>
      <c r="B375" s="313" t="s">
        <v>553</v>
      </c>
      <c r="C375" s="312" t="s">
        <v>15</v>
      </c>
      <c r="D375" s="314">
        <v>8454</v>
      </c>
      <c r="E375" s="313" t="s">
        <v>937</v>
      </c>
      <c r="F375" s="315" t="str">
        <f>IF(IF(A375="","",COUNTIF(CONSOLIDADO!$A:$A,$A375))=0,"REVISAR","OK")</f>
        <v>OK</v>
      </c>
    </row>
    <row r="376" spans="1:6" ht="11.45" customHeight="1" x14ac:dyDescent="0.2">
      <c r="A376" s="312" t="s">
        <v>1320</v>
      </c>
      <c r="B376" s="313" t="s">
        <v>1321</v>
      </c>
      <c r="C376" s="312" t="s">
        <v>15</v>
      </c>
      <c r="D376" s="314">
        <v>8000</v>
      </c>
      <c r="E376" s="313" t="s">
        <v>938</v>
      </c>
      <c r="F376" s="315" t="str">
        <f>IF(IF(A376="","",COUNTIF(CONSOLIDADO!$A:$A,$A376))=0,"REVISAR","OK")</f>
        <v>OK</v>
      </c>
    </row>
    <row r="377" spans="1:6" ht="11.45" customHeight="1" x14ac:dyDescent="0.2">
      <c r="A377" s="312" t="s">
        <v>1816</v>
      </c>
      <c r="B377" s="313" t="s">
        <v>1581</v>
      </c>
      <c r="C377" s="312" t="s">
        <v>956</v>
      </c>
      <c r="D377" s="314">
        <v>1490</v>
      </c>
      <c r="E377" s="313" t="s">
        <v>948</v>
      </c>
      <c r="F377" s="315" t="str">
        <f>IF(IF(A377="","",COUNTIF(CONSOLIDADO!$A:$A,$A377))=0,"REVISAR","OK")</f>
        <v>OK</v>
      </c>
    </row>
    <row r="378" spans="1:6" ht="11.45" customHeight="1" x14ac:dyDescent="0.2">
      <c r="A378" s="312" t="s">
        <v>775</v>
      </c>
      <c r="B378" s="313" t="s">
        <v>993</v>
      </c>
      <c r="C378" s="312" t="s">
        <v>947</v>
      </c>
      <c r="D378" s="314">
        <v>714</v>
      </c>
      <c r="E378" s="313" t="s">
        <v>1115</v>
      </c>
      <c r="F378" s="315" t="str">
        <f>IF(IF(A378="","",COUNTIF(CONSOLIDADO!$A:$A,$A378))=0,"REVISAR","OK")</f>
        <v>OK</v>
      </c>
    </row>
    <row r="379" spans="1:6" ht="11.45" customHeight="1" x14ac:dyDescent="0.2">
      <c r="A379" s="312" t="s">
        <v>775</v>
      </c>
      <c r="B379" s="313" t="s">
        <v>993</v>
      </c>
      <c r="C379" s="312" t="s">
        <v>947</v>
      </c>
      <c r="D379" s="314">
        <v>792</v>
      </c>
      <c r="E379" s="313" t="s">
        <v>933</v>
      </c>
      <c r="F379" s="315" t="str">
        <f>IF(IF(A379="","",COUNTIF(CONSOLIDADO!$A:$A,$A379))=0,"REVISAR","OK")</f>
        <v>OK</v>
      </c>
    </row>
    <row r="380" spans="1:6" ht="11.45" customHeight="1" x14ac:dyDescent="0.2">
      <c r="A380" s="312" t="s">
        <v>777</v>
      </c>
      <c r="B380" s="313" t="s">
        <v>487</v>
      </c>
      <c r="C380" s="312" t="s">
        <v>981</v>
      </c>
      <c r="D380" s="314">
        <v>1026</v>
      </c>
      <c r="E380" s="313" t="s">
        <v>949</v>
      </c>
      <c r="F380" s="315" t="str">
        <f>IF(IF(A380="","",COUNTIF(CONSOLIDADO!$A:$A,$A380))=0,"REVISAR","OK")</f>
        <v>OK</v>
      </c>
    </row>
    <row r="381" spans="1:6" ht="11.45" customHeight="1" x14ac:dyDescent="0.2">
      <c r="A381" s="312" t="s">
        <v>777</v>
      </c>
      <c r="B381" s="313" t="s">
        <v>487</v>
      </c>
      <c r="C381" s="312" t="s">
        <v>981</v>
      </c>
      <c r="D381" s="314">
        <v>1300</v>
      </c>
      <c r="E381" s="313" t="s">
        <v>943</v>
      </c>
      <c r="F381" s="315" t="str">
        <f>IF(IF(A381="","",COUNTIF(CONSOLIDADO!$A:$A,$A381))=0,"REVISAR","OK")</f>
        <v>OK</v>
      </c>
    </row>
    <row r="382" spans="1:6" ht="11.45" customHeight="1" x14ac:dyDescent="0.2">
      <c r="A382" s="312" t="s">
        <v>777</v>
      </c>
      <c r="B382" s="313" t="s">
        <v>487</v>
      </c>
      <c r="C382" s="312" t="s">
        <v>981</v>
      </c>
      <c r="D382" s="314">
        <v>1642</v>
      </c>
      <c r="E382" s="313" t="s">
        <v>946</v>
      </c>
      <c r="F382" s="315" t="str">
        <f>IF(IF(A382="","",COUNTIF(CONSOLIDADO!$A:$A,$A382))=0,"REVISAR","OK")</f>
        <v>OK</v>
      </c>
    </row>
    <row r="383" spans="1:6" ht="11.45" customHeight="1" x14ac:dyDescent="0.2">
      <c r="A383" s="312" t="s">
        <v>777</v>
      </c>
      <c r="B383" s="313" t="s">
        <v>487</v>
      </c>
      <c r="C383" s="312" t="s">
        <v>981</v>
      </c>
      <c r="D383" s="314">
        <v>1707</v>
      </c>
      <c r="E383" s="313" t="s">
        <v>938</v>
      </c>
      <c r="F383" s="315" t="str">
        <f>IF(IF(A383="","",COUNTIF(CONSOLIDADO!$A:$A,$A383))=0,"REVISAR","OK")</f>
        <v>OK</v>
      </c>
    </row>
    <row r="384" spans="1:6" ht="11.45" customHeight="1" x14ac:dyDescent="0.2">
      <c r="A384" s="312" t="s">
        <v>783</v>
      </c>
      <c r="B384" s="313" t="s">
        <v>479</v>
      </c>
      <c r="C384" s="312" t="s">
        <v>15</v>
      </c>
      <c r="D384" s="314">
        <v>2142</v>
      </c>
      <c r="E384" s="313" t="s">
        <v>940</v>
      </c>
      <c r="F384" s="315" t="str">
        <f>IF(IF(A384="","",COUNTIF(CONSOLIDADO!$A:$A,$A384))=0,"REVISAR","OK")</f>
        <v>OK</v>
      </c>
    </row>
    <row r="385" spans="1:6" ht="11.45" customHeight="1" x14ac:dyDescent="0.2">
      <c r="A385" s="312" t="s">
        <v>783</v>
      </c>
      <c r="B385" s="313" t="s">
        <v>479</v>
      </c>
      <c r="C385" s="312" t="s">
        <v>15</v>
      </c>
      <c r="D385" s="314">
        <v>2284</v>
      </c>
      <c r="E385" s="313" t="s">
        <v>933</v>
      </c>
      <c r="F385" s="315" t="str">
        <f>IF(IF(A385="","",COUNTIF(CONSOLIDADO!$A:$A,$A385))=0,"REVISAR","OK")</f>
        <v>OK</v>
      </c>
    </row>
    <row r="386" spans="1:6" ht="11.45" customHeight="1" x14ac:dyDescent="0.2">
      <c r="A386" s="312" t="s">
        <v>783</v>
      </c>
      <c r="B386" s="313" t="s">
        <v>479</v>
      </c>
      <c r="C386" s="312" t="s">
        <v>15</v>
      </c>
      <c r="D386" s="314">
        <v>2291</v>
      </c>
      <c r="E386" s="313" t="s">
        <v>935</v>
      </c>
      <c r="F386" s="315" t="str">
        <f>IF(IF(A386="","",COUNTIF(CONSOLIDADO!$A:$A,$A386))=0,"REVISAR","OK")</f>
        <v>OK</v>
      </c>
    </row>
    <row r="387" spans="1:6" ht="11.45" customHeight="1" x14ac:dyDescent="0.2">
      <c r="A387" s="312" t="s">
        <v>783</v>
      </c>
      <c r="B387" s="313" t="s">
        <v>479</v>
      </c>
      <c r="C387" s="312" t="s">
        <v>15</v>
      </c>
      <c r="D387" s="314">
        <v>2490</v>
      </c>
      <c r="E387" s="313" t="s">
        <v>2276</v>
      </c>
      <c r="F387" s="315" t="str">
        <f>IF(IF(A387="","",COUNTIF(CONSOLIDADO!$A:$A,$A387))=0,"REVISAR","OK")</f>
        <v>OK</v>
      </c>
    </row>
    <row r="388" spans="1:6" ht="11.45" customHeight="1" x14ac:dyDescent="0.2">
      <c r="A388" s="312" t="s">
        <v>783</v>
      </c>
      <c r="B388" s="313" t="s">
        <v>479</v>
      </c>
      <c r="C388" s="312" t="s">
        <v>15</v>
      </c>
      <c r="D388" s="314">
        <v>2499</v>
      </c>
      <c r="E388" s="313" t="s">
        <v>929</v>
      </c>
      <c r="F388" s="315" t="str">
        <f>IF(IF(A388="","",COUNTIF(CONSOLIDADO!$A:$A,$A388))=0,"REVISAR","OK")</f>
        <v>OK</v>
      </c>
    </row>
    <row r="389" spans="1:6" ht="11.45" customHeight="1" x14ac:dyDescent="0.2">
      <c r="A389" s="312" t="s">
        <v>784</v>
      </c>
      <c r="B389" s="313" t="s">
        <v>119</v>
      </c>
      <c r="C389" s="312" t="s">
        <v>15</v>
      </c>
      <c r="D389" s="314">
        <v>1689</v>
      </c>
      <c r="E389" s="313" t="s">
        <v>945</v>
      </c>
      <c r="F389" s="315" t="str">
        <f>IF(IF(A389="","",COUNTIF(CONSOLIDADO!$A:$A,$A389))=0,"REVISAR","OK")</f>
        <v>OK</v>
      </c>
    </row>
    <row r="390" spans="1:6" ht="11.45" customHeight="1" x14ac:dyDescent="0.2">
      <c r="A390" s="312" t="s">
        <v>1322</v>
      </c>
      <c r="B390" s="313" t="s">
        <v>1323</v>
      </c>
      <c r="C390" s="312" t="s">
        <v>973</v>
      </c>
      <c r="D390" s="314">
        <v>1850</v>
      </c>
      <c r="E390" s="313" t="s">
        <v>2276</v>
      </c>
      <c r="F390" s="315" t="str">
        <f>IF(IF(A390="","",COUNTIF(CONSOLIDADO!$A:$A,$A390))=0,"REVISAR","OK")</f>
        <v>OK</v>
      </c>
    </row>
    <row r="391" spans="1:6" ht="11.45" customHeight="1" x14ac:dyDescent="0.2">
      <c r="A391" s="312" t="s">
        <v>1322</v>
      </c>
      <c r="B391" s="313" t="s">
        <v>1323</v>
      </c>
      <c r="C391" s="312" t="s">
        <v>973</v>
      </c>
      <c r="D391" s="314">
        <v>2242</v>
      </c>
      <c r="E391" s="313" t="s">
        <v>950</v>
      </c>
      <c r="F391" s="315" t="str">
        <f>IF(IF(A391="","",COUNTIF(CONSOLIDADO!$A:$A,$A391))=0,"REVISAR","OK")</f>
        <v>OK</v>
      </c>
    </row>
    <row r="392" spans="1:6" ht="11.45" customHeight="1" x14ac:dyDescent="0.2">
      <c r="A392" s="312" t="s">
        <v>785</v>
      </c>
      <c r="B392" s="313" t="s">
        <v>241</v>
      </c>
      <c r="C392" s="312" t="s">
        <v>906</v>
      </c>
      <c r="D392" s="314">
        <v>800</v>
      </c>
      <c r="E392" s="313" t="s">
        <v>2073</v>
      </c>
      <c r="F392" s="315" t="str">
        <f>IF(IF(A392="","",COUNTIF(CONSOLIDADO!$A:$A,$A392))=0,"REVISAR","OK")</f>
        <v>OK</v>
      </c>
    </row>
    <row r="393" spans="1:6" ht="11.45" customHeight="1" x14ac:dyDescent="0.2">
      <c r="A393" s="312" t="s">
        <v>996</v>
      </c>
      <c r="B393" s="313" t="s">
        <v>649</v>
      </c>
      <c r="C393" s="312" t="s">
        <v>942</v>
      </c>
      <c r="D393" s="314">
        <v>1889</v>
      </c>
      <c r="E393" s="313" t="s">
        <v>937</v>
      </c>
      <c r="F393" s="315" t="str">
        <f>IF(IF(A393="","",COUNTIF(CONSOLIDADO!$A:$A,$A393))=0,"REVISAR","OK")</f>
        <v>OK</v>
      </c>
    </row>
    <row r="394" spans="1:6" ht="11.45" customHeight="1" x14ac:dyDescent="0.2">
      <c r="A394" s="312" t="s">
        <v>996</v>
      </c>
      <c r="B394" s="313" t="s">
        <v>649</v>
      </c>
      <c r="C394" s="312" t="s">
        <v>942</v>
      </c>
      <c r="D394" s="314">
        <v>2890</v>
      </c>
      <c r="E394" s="313" t="s">
        <v>931</v>
      </c>
      <c r="F394" s="315" t="str">
        <f>IF(IF(A394="","",COUNTIF(CONSOLIDADO!$A:$A,$A394))=0,"REVISAR","OK")</f>
        <v>OK</v>
      </c>
    </row>
    <row r="395" spans="1:6" ht="11.45" customHeight="1" x14ac:dyDescent="0.2">
      <c r="A395" s="312" t="s">
        <v>788</v>
      </c>
      <c r="B395" s="313" t="s">
        <v>650</v>
      </c>
      <c r="C395" s="312" t="s">
        <v>942</v>
      </c>
      <c r="D395" s="314">
        <v>2003</v>
      </c>
      <c r="E395" s="313" t="s">
        <v>937</v>
      </c>
      <c r="F395" s="315" t="str">
        <f>IF(IF(A395="","",COUNTIF(CONSOLIDADO!$A:$A,$A395))=0,"REVISAR","OK")</f>
        <v>OK</v>
      </c>
    </row>
    <row r="396" spans="1:6" ht="11.45" customHeight="1" x14ac:dyDescent="0.2">
      <c r="A396" s="312" t="s">
        <v>788</v>
      </c>
      <c r="B396" s="313" t="s">
        <v>650</v>
      </c>
      <c r="C396" s="312" t="s">
        <v>942</v>
      </c>
      <c r="D396" s="314">
        <v>2890</v>
      </c>
      <c r="E396" s="313" t="s">
        <v>931</v>
      </c>
      <c r="F396" s="315" t="str">
        <f>IF(IF(A396="","",COUNTIF(CONSOLIDADO!$A:$A,$A396))=0,"REVISAR","OK")</f>
        <v>OK</v>
      </c>
    </row>
    <row r="397" spans="1:6" ht="11.45" customHeight="1" x14ac:dyDescent="0.2">
      <c r="A397" s="312" t="s">
        <v>790</v>
      </c>
      <c r="B397" s="313" t="s">
        <v>561</v>
      </c>
      <c r="C397" s="312" t="s">
        <v>111</v>
      </c>
      <c r="D397" s="314">
        <v>699</v>
      </c>
      <c r="E397" s="313" t="s">
        <v>945</v>
      </c>
      <c r="F397" s="315" t="str">
        <f>IF(IF(A397="","",COUNTIF(CONSOLIDADO!$A:$A,$A397))=0,"REVISAR","OK")</f>
        <v>OK</v>
      </c>
    </row>
    <row r="398" spans="1:6" ht="11.45" customHeight="1" x14ac:dyDescent="0.2">
      <c r="A398" s="312" t="s">
        <v>790</v>
      </c>
      <c r="B398" s="313" t="s">
        <v>561</v>
      </c>
      <c r="C398" s="312" t="s">
        <v>111</v>
      </c>
      <c r="D398" s="314">
        <v>750</v>
      </c>
      <c r="E398" s="313" t="s">
        <v>974</v>
      </c>
      <c r="F398" s="315" t="str">
        <f>IF(IF(A398="","",COUNTIF(CONSOLIDADO!$A:$A,$A398))=0,"REVISAR","OK")</f>
        <v>OK</v>
      </c>
    </row>
    <row r="399" spans="1:6" ht="11.45" customHeight="1" x14ac:dyDescent="0.2">
      <c r="A399" s="312" t="s">
        <v>790</v>
      </c>
      <c r="B399" s="313" t="s">
        <v>561</v>
      </c>
      <c r="C399" s="312" t="s">
        <v>111</v>
      </c>
      <c r="D399" s="314">
        <v>773</v>
      </c>
      <c r="E399" s="313" t="s">
        <v>982</v>
      </c>
      <c r="F399" s="315" t="str">
        <f>IF(IF(A399="","",COUNTIF(CONSOLIDADO!$A:$A,$A399))=0,"REVISAR","OK")</f>
        <v>OK</v>
      </c>
    </row>
    <row r="400" spans="1:6" ht="11.45" customHeight="1" x14ac:dyDescent="0.2">
      <c r="A400" s="312" t="s">
        <v>790</v>
      </c>
      <c r="B400" s="313" t="s">
        <v>561</v>
      </c>
      <c r="C400" s="312" t="s">
        <v>111</v>
      </c>
      <c r="D400" s="314">
        <v>800</v>
      </c>
      <c r="E400" s="313" t="s">
        <v>2073</v>
      </c>
      <c r="F400" s="315" t="str">
        <f>IF(IF(A400="","",COUNTIF(CONSOLIDADO!$A:$A,$A400))=0,"REVISAR","OK")</f>
        <v>OK</v>
      </c>
    </row>
    <row r="401" spans="1:6" ht="11.45" customHeight="1" x14ac:dyDescent="0.2">
      <c r="A401" s="312" t="s">
        <v>790</v>
      </c>
      <c r="B401" s="313" t="s">
        <v>561</v>
      </c>
      <c r="C401" s="312" t="s">
        <v>111</v>
      </c>
      <c r="D401" s="314">
        <v>800</v>
      </c>
      <c r="E401" s="313" t="s">
        <v>974</v>
      </c>
      <c r="F401" s="315" t="str">
        <f>IF(IF(A401="","",COUNTIF(CONSOLIDADO!$A:$A,$A401))=0,"REVISAR","OK")</f>
        <v>OK</v>
      </c>
    </row>
    <row r="402" spans="1:6" ht="11.45" customHeight="1" x14ac:dyDescent="0.2">
      <c r="A402" s="312" t="s">
        <v>790</v>
      </c>
      <c r="B402" s="313" t="s">
        <v>561</v>
      </c>
      <c r="C402" s="312" t="s">
        <v>111</v>
      </c>
      <c r="D402" s="314">
        <v>800</v>
      </c>
      <c r="E402" s="313" t="s">
        <v>976</v>
      </c>
      <c r="F402" s="315" t="str">
        <f>IF(IF(A402="","",COUNTIF(CONSOLIDADO!$A:$A,$A402))=0,"REVISAR","OK")</f>
        <v>OK</v>
      </c>
    </row>
    <row r="403" spans="1:6" ht="11.45" customHeight="1" x14ac:dyDescent="0.2">
      <c r="A403" s="312" t="s">
        <v>790</v>
      </c>
      <c r="B403" s="313" t="s">
        <v>561</v>
      </c>
      <c r="C403" s="312" t="s">
        <v>111</v>
      </c>
      <c r="D403" s="314">
        <v>850</v>
      </c>
      <c r="E403" s="313" t="s">
        <v>2211</v>
      </c>
      <c r="F403" s="315" t="str">
        <f>IF(IF(A403="","",COUNTIF(CONSOLIDADO!$A:$A,$A403))=0,"REVISAR","OK")</f>
        <v>OK</v>
      </c>
    </row>
    <row r="404" spans="1:6" ht="11.45" customHeight="1" x14ac:dyDescent="0.2">
      <c r="A404" s="312" t="s">
        <v>790</v>
      </c>
      <c r="B404" s="313" t="s">
        <v>561</v>
      </c>
      <c r="C404" s="312" t="s">
        <v>111</v>
      </c>
      <c r="D404" s="314">
        <v>934</v>
      </c>
      <c r="E404" s="313" t="s">
        <v>944</v>
      </c>
      <c r="F404" s="315" t="str">
        <f>IF(IF(A404="","",COUNTIF(CONSOLIDADO!$A:$A,$A404))=0,"REVISAR","OK")</f>
        <v>OK</v>
      </c>
    </row>
    <row r="405" spans="1:6" ht="11.45" customHeight="1" x14ac:dyDescent="0.2">
      <c r="A405" s="312" t="s">
        <v>790</v>
      </c>
      <c r="B405" s="313" t="s">
        <v>561</v>
      </c>
      <c r="C405" s="312" t="s">
        <v>111</v>
      </c>
      <c r="D405" s="314">
        <v>952</v>
      </c>
      <c r="E405" s="313" t="s">
        <v>982</v>
      </c>
      <c r="F405" s="315" t="str">
        <f>IF(IF(A405="","",COUNTIF(CONSOLIDADO!$A:$A,$A405))=0,"REVISAR","OK")</f>
        <v>OK</v>
      </c>
    </row>
    <row r="406" spans="1:6" ht="11.45" customHeight="1" x14ac:dyDescent="0.2">
      <c r="A406" s="312" t="s">
        <v>790</v>
      </c>
      <c r="B406" s="313" t="s">
        <v>561</v>
      </c>
      <c r="C406" s="312" t="s">
        <v>111</v>
      </c>
      <c r="D406" s="314">
        <v>952</v>
      </c>
      <c r="E406" s="313" t="s">
        <v>2176</v>
      </c>
      <c r="F406" s="315" t="str">
        <f>IF(IF(A406="","",COUNTIF(CONSOLIDADO!$A:$A,$A406))=0,"REVISAR","OK")</f>
        <v>OK</v>
      </c>
    </row>
    <row r="407" spans="1:6" ht="11.45" customHeight="1" x14ac:dyDescent="0.2">
      <c r="A407" s="312" t="s">
        <v>790</v>
      </c>
      <c r="B407" s="313" t="s">
        <v>561</v>
      </c>
      <c r="C407" s="312" t="s">
        <v>111</v>
      </c>
      <c r="D407" s="314">
        <v>1000</v>
      </c>
      <c r="E407" s="313" t="s">
        <v>2073</v>
      </c>
      <c r="F407" s="315" t="str">
        <f>IF(IF(A407="","",COUNTIF(CONSOLIDADO!$A:$A,$A407))=0,"REVISAR","OK")</f>
        <v>OK</v>
      </c>
    </row>
    <row r="408" spans="1:6" ht="11.45" customHeight="1" x14ac:dyDescent="0.2">
      <c r="A408" s="312" t="s">
        <v>790</v>
      </c>
      <c r="B408" s="313" t="s">
        <v>561</v>
      </c>
      <c r="C408" s="312" t="s">
        <v>111</v>
      </c>
      <c r="D408" s="314">
        <v>1000</v>
      </c>
      <c r="E408" s="313" t="s">
        <v>974</v>
      </c>
      <c r="F408" s="315" t="str">
        <f>IF(IF(A408="","",COUNTIF(CONSOLIDADO!$A:$A,$A408))=0,"REVISAR","OK")</f>
        <v>OK</v>
      </c>
    </row>
    <row r="409" spans="1:6" ht="11.45" customHeight="1" x14ac:dyDescent="0.2">
      <c r="A409" s="312" t="s">
        <v>790</v>
      </c>
      <c r="B409" s="313" t="s">
        <v>561</v>
      </c>
      <c r="C409" s="312" t="s">
        <v>111</v>
      </c>
      <c r="D409" s="314">
        <v>1000</v>
      </c>
      <c r="E409" s="313" t="s">
        <v>976</v>
      </c>
      <c r="F409" s="315" t="str">
        <f>IF(IF(A409="","",COUNTIF(CONSOLIDADO!$A:$A,$A409))=0,"REVISAR","OK")</f>
        <v>OK</v>
      </c>
    </row>
    <row r="410" spans="1:6" ht="11.45" customHeight="1" x14ac:dyDescent="0.2">
      <c r="A410" s="312" t="s">
        <v>790</v>
      </c>
      <c r="B410" s="313" t="s">
        <v>561</v>
      </c>
      <c r="C410" s="312" t="s">
        <v>111</v>
      </c>
      <c r="D410" s="314">
        <v>1000</v>
      </c>
      <c r="E410" s="313" t="s">
        <v>940</v>
      </c>
      <c r="F410" s="315" t="str">
        <f>IF(IF(A410="","",COUNTIF(CONSOLIDADO!$A:$A,$A410))=0,"REVISAR","OK")</f>
        <v>OK</v>
      </c>
    </row>
    <row r="411" spans="1:6" ht="11.45" customHeight="1" x14ac:dyDescent="0.2">
      <c r="A411" s="312" t="s">
        <v>790</v>
      </c>
      <c r="B411" s="313" t="s">
        <v>561</v>
      </c>
      <c r="C411" s="312" t="s">
        <v>111</v>
      </c>
      <c r="D411" s="314">
        <v>1389</v>
      </c>
      <c r="E411" s="313" t="s">
        <v>950</v>
      </c>
      <c r="F411" s="315" t="str">
        <f>IF(IF(A411="","",COUNTIF(CONSOLIDADO!$A:$A,$A411))=0,"REVISAR","OK")</f>
        <v>OK</v>
      </c>
    </row>
    <row r="412" spans="1:6" ht="11.45" customHeight="1" x14ac:dyDescent="0.2">
      <c r="A412" s="312" t="s">
        <v>790</v>
      </c>
      <c r="B412" s="313" t="s">
        <v>561</v>
      </c>
      <c r="C412" s="312" t="s">
        <v>111</v>
      </c>
      <c r="D412" s="314">
        <v>1389</v>
      </c>
      <c r="E412" s="313" t="s">
        <v>937</v>
      </c>
      <c r="F412" s="315" t="str">
        <f>IF(IF(A412="","",COUNTIF(CONSOLIDADO!$A:$A,$A412))=0,"REVISAR","OK")</f>
        <v>OK</v>
      </c>
    </row>
    <row r="413" spans="1:6" ht="11.45" customHeight="1" x14ac:dyDescent="0.2">
      <c r="A413" s="312" t="s">
        <v>790</v>
      </c>
      <c r="B413" s="313" t="s">
        <v>561</v>
      </c>
      <c r="C413" s="312" t="s">
        <v>111</v>
      </c>
      <c r="D413" s="314">
        <v>1428</v>
      </c>
      <c r="E413" s="313" t="s">
        <v>999</v>
      </c>
      <c r="F413" s="315" t="str">
        <f>IF(IF(A413="","",COUNTIF(CONSOLIDADO!$A:$A,$A413))=0,"REVISAR","OK")</f>
        <v>OK</v>
      </c>
    </row>
    <row r="414" spans="1:6" ht="11.45" customHeight="1" x14ac:dyDescent="0.2">
      <c r="A414" s="312" t="s">
        <v>790</v>
      </c>
      <c r="B414" s="313" t="s">
        <v>561</v>
      </c>
      <c r="C414" s="312" t="s">
        <v>111</v>
      </c>
      <c r="D414" s="314">
        <v>1447</v>
      </c>
      <c r="E414" s="313" t="s">
        <v>933</v>
      </c>
      <c r="F414" s="315" t="str">
        <f>IF(IF(A414="","",COUNTIF(CONSOLIDADO!$A:$A,$A414))=0,"REVISAR","OK")</f>
        <v>OK</v>
      </c>
    </row>
    <row r="415" spans="1:6" ht="11.45" customHeight="1" x14ac:dyDescent="0.2">
      <c r="A415" s="312" t="s">
        <v>790</v>
      </c>
      <c r="B415" s="313" t="s">
        <v>561</v>
      </c>
      <c r="C415" s="312" t="s">
        <v>111</v>
      </c>
      <c r="D415" s="314">
        <v>1447</v>
      </c>
      <c r="E415" s="313" t="s">
        <v>929</v>
      </c>
      <c r="F415" s="315" t="str">
        <f>IF(IF(A415="","",COUNTIF(CONSOLIDADO!$A:$A,$A415))=0,"REVISAR","OK")</f>
        <v>OK</v>
      </c>
    </row>
    <row r="416" spans="1:6" ht="11.45" customHeight="1" x14ac:dyDescent="0.2">
      <c r="A416" s="312" t="s">
        <v>792</v>
      </c>
      <c r="B416" s="313" t="s">
        <v>196</v>
      </c>
      <c r="C416" s="312" t="s">
        <v>111</v>
      </c>
      <c r="D416" s="314">
        <v>714</v>
      </c>
      <c r="E416" s="313" t="s">
        <v>1115</v>
      </c>
      <c r="F416" s="315" t="str">
        <f>IF(IF(A416="","",COUNTIF(CONSOLIDADO!$A:$A,$A416))=0,"REVISAR","OK")</f>
        <v>OK</v>
      </c>
    </row>
    <row r="417" spans="1:6" ht="11.45" customHeight="1" x14ac:dyDescent="0.2">
      <c r="A417" s="312" t="s">
        <v>792</v>
      </c>
      <c r="B417" s="313" t="s">
        <v>196</v>
      </c>
      <c r="C417" s="312" t="s">
        <v>111</v>
      </c>
      <c r="D417" s="314">
        <v>800</v>
      </c>
      <c r="E417" s="313" t="s">
        <v>938</v>
      </c>
      <c r="F417" s="315" t="str">
        <f>IF(IF(A417="","",COUNTIF(CONSOLIDADO!$A:$A,$A417))=0,"REVISAR","OK")</f>
        <v>OK</v>
      </c>
    </row>
    <row r="418" spans="1:6" ht="11.45" customHeight="1" x14ac:dyDescent="0.2">
      <c r="A418" s="312" t="s">
        <v>792</v>
      </c>
      <c r="B418" s="313" t="s">
        <v>196</v>
      </c>
      <c r="C418" s="312" t="s">
        <v>111</v>
      </c>
      <c r="D418" s="314">
        <v>892</v>
      </c>
      <c r="E418" s="313" t="s">
        <v>939</v>
      </c>
      <c r="F418" s="315" t="str">
        <f>IF(IF(A418="","",COUNTIF(CONSOLIDADO!$A:$A,$A418))=0,"REVISAR","OK")</f>
        <v>OK</v>
      </c>
    </row>
    <row r="419" spans="1:6" ht="11.45" customHeight="1" x14ac:dyDescent="0.2">
      <c r="A419" s="312" t="s">
        <v>792</v>
      </c>
      <c r="B419" s="313" t="s">
        <v>196</v>
      </c>
      <c r="C419" s="312" t="s">
        <v>111</v>
      </c>
      <c r="D419" s="314">
        <v>892</v>
      </c>
      <c r="E419" s="313" t="s">
        <v>2233</v>
      </c>
      <c r="F419" s="315" t="str">
        <f>IF(IF(A419="","",COUNTIF(CONSOLIDADO!$A:$A,$A419))=0,"REVISAR","OK")</f>
        <v>OK</v>
      </c>
    </row>
    <row r="420" spans="1:6" ht="11.45" customHeight="1" x14ac:dyDescent="0.2">
      <c r="A420" s="312" t="s">
        <v>792</v>
      </c>
      <c r="B420" s="313" t="s">
        <v>196</v>
      </c>
      <c r="C420" s="312" t="s">
        <v>111</v>
      </c>
      <c r="D420" s="314">
        <v>930</v>
      </c>
      <c r="E420" s="313" t="s">
        <v>934</v>
      </c>
      <c r="F420" s="315" t="str">
        <f>IF(IF(A420="","",COUNTIF(CONSOLIDADO!$A:$A,$A420))=0,"REVISAR","OK")</f>
        <v>OK</v>
      </c>
    </row>
    <row r="421" spans="1:6" ht="11.45" customHeight="1" x14ac:dyDescent="0.2">
      <c r="A421" s="312" t="s">
        <v>792</v>
      </c>
      <c r="B421" s="313" t="s">
        <v>196</v>
      </c>
      <c r="C421" s="312" t="s">
        <v>111</v>
      </c>
      <c r="D421" s="314">
        <v>930</v>
      </c>
      <c r="E421" s="313" t="s">
        <v>943</v>
      </c>
      <c r="F421" s="315" t="str">
        <f>IF(IF(A421="","",COUNTIF(CONSOLIDADO!$A:$A,$A421))=0,"REVISAR","OK")</f>
        <v>OK</v>
      </c>
    </row>
    <row r="422" spans="1:6" ht="11.45" customHeight="1" x14ac:dyDescent="0.2">
      <c r="A422" s="312" t="s">
        <v>792</v>
      </c>
      <c r="B422" s="313" t="s">
        <v>196</v>
      </c>
      <c r="C422" s="312" t="s">
        <v>111</v>
      </c>
      <c r="D422" s="314">
        <v>934</v>
      </c>
      <c r="E422" s="313" t="s">
        <v>944</v>
      </c>
      <c r="F422" s="315" t="str">
        <f>IF(IF(A422="","",COUNTIF(CONSOLIDADO!$A:$A,$A422))=0,"REVISAR","OK")</f>
        <v>OK</v>
      </c>
    </row>
    <row r="423" spans="1:6" ht="11.45" customHeight="1" x14ac:dyDescent="0.2">
      <c r="A423" s="312" t="s">
        <v>792</v>
      </c>
      <c r="B423" s="313" t="s">
        <v>196</v>
      </c>
      <c r="C423" s="312" t="s">
        <v>111</v>
      </c>
      <c r="D423" s="314">
        <v>952</v>
      </c>
      <c r="E423" s="313" t="s">
        <v>2258</v>
      </c>
      <c r="F423" s="315" t="str">
        <f>IF(IF(A423="","",COUNTIF(CONSOLIDADO!$A:$A,$A423))=0,"REVISAR","OK")</f>
        <v>OK</v>
      </c>
    </row>
    <row r="424" spans="1:6" ht="11.45" customHeight="1" x14ac:dyDescent="0.2">
      <c r="A424" s="312" t="s">
        <v>792</v>
      </c>
      <c r="B424" s="313" t="s">
        <v>196</v>
      </c>
      <c r="C424" s="312" t="s">
        <v>111</v>
      </c>
      <c r="D424" s="314">
        <v>952</v>
      </c>
      <c r="E424" s="313" t="s">
        <v>982</v>
      </c>
      <c r="F424" s="315" t="str">
        <f>IF(IF(A424="","",COUNTIF(CONSOLIDADO!$A:$A,$A424))=0,"REVISAR","OK")</f>
        <v>OK</v>
      </c>
    </row>
    <row r="425" spans="1:6" ht="11.45" customHeight="1" x14ac:dyDescent="0.2">
      <c r="A425" s="312" t="s">
        <v>792</v>
      </c>
      <c r="B425" s="313" t="s">
        <v>196</v>
      </c>
      <c r="C425" s="312" t="s">
        <v>111</v>
      </c>
      <c r="D425" s="314">
        <v>1000</v>
      </c>
      <c r="E425" s="313" t="s">
        <v>2274</v>
      </c>
      <c r="F425" s="315" t="str">
        <f>IF(IF(A425="","",COUNTIF(CONSOLIDADO!$A:$A,$A425))=0,"REVISAR","OK")</f>
        <v>OK</v>
      </c>
    </row>
    <row r="426" spans="1:6" ht="11.45" customHeight="1" x14ac:dyDescent="0.2">
      <c r="A426" s="312" t="s">
        <v>792</v>
      </c>
      <c r="B426" s="313" t="s">
        <v>196</v>
      </c>
      <c r="C426" s="312" t="s">
        <v>111</v>
      </c>
      <c r="D426" s="314">
        <v>1071</v>
      </c>
      <c r="E426" s="313" t="s">
        <v>1115</v>
      </c>
      <c r="F426" s="315" t="str">
        <f>IF(IF(A426="","",COUNTIF(CONSOLIDADO!$A:$A,$A426))=0,"REVISAR","OK")</f>
        <v>OK</v>
      </c>
    </row>
    <row r="427" spans="1:6" ht="11.45" customHeight="1" x14ac:dyDescent="0.2">
      <c r="A427" s="312" t="s">
        <v>792</v>
      </c>
      <c r="B427" s="313" t="s">
        <v>196</v>
      </c>
      <c r="C427" s="312" t="s">
        <v>111</v>
      </c>
      <c r="D427" s="314">
        <v>1115</v>
      </c>
      <c r="E427" s="313" t="s">
        <v>951</v>
      </c>
      <c r="F427" s="315" t="str">
        <f>IF(IF(A427="","",COUNTIF(CONSOLIDADO!$A:$A,$A427))=0,"REVISAR","OK")</f>
        <v>OK</v>
      </c>
    </row>
    <row r="428" spans="1:6" ht="11.45" customHeight="1" x14ac:dyDescent="0.2">
      <c r="A428" s="312" t="s">
        <v>792</v>
      </c>
      <c r="B428" s="313" t="s">
        <v>196</v>
      </c>
      <c r="C428" s="312" t="s">
        <v>111</v>
      </c>
      <c r="D428" s="314">
        <v>1200</v>
      </c>
      <c r="E428" s="313" t="s">
        <v>2210</v>
      </c>
      <c r="F428" s="315" t="str">
        <f>IF(IF(A428="","",COUNTIF(CONSOLIDADO!$A:$A,$A428))=0,"REVISAR","OK")</f>
        <v>OK</v>
      </c>
    </row>
    <row r="429" spans="1:6" ht="11.45" customHeight="1" x14ac:dyDescent="0.2">
      <c r="A429" s="312" t="s">
        <v>792</v>
      </c>
      <c r="B429" s="313" t="s">
        <v>196</v>
      </c>
      <c r="C429" s="312" t="s">
        <v>111</v>
      </c>
      <c r="D429" s="314">
        <v>1200</v>
      </c>
      <c r="E429" s="313" t="s">
        <v>938</v>
      </c>
      <c r="F429" s="315" t="str">
        <f>IF(IF(A429="","",COUNTIF(CONSOLIDADO!$A:$A,$A429))=0,"REVISAR","OK")</f>
        <v>OK</v>
      </c>
    </row>
    <row r="430" spans="1:6" ht="11.45" customHeight="1" x14ac:dyDescent="0.2">
      <c r="A430" s="312" t="s">
        <v>792</v>
      </c>
      <c r="B430" s="313" t="s">
        <v>196</v>
      </c>
      <c r="C430" s="312" t="s">
        <v>111</v>
      </c>
      <c r="D430" s="314">
        <v>1300</v>
      </c>
      <c r="E430" s="313" t="s">
        <v>938</v>
      </c>
      <c r="F430" s="315" t="str">
        <f>IF(IF(A430="","",COUNTIF(CONSOLIDADO!$A:$A,$A430))=0,"REVISAR","OK")</f>
        <v>OK</v>
      </c>
    </row>
    <row r="431" spans="1:6" ht="11.45" customHeight="1" x14ac:dyDescent="0.2">
      <c r="A431" s="312" t="s">
        <v>792</v>
      </c>
      <c r="B431" s="313" t="s">
        <v>196</v>
      </c>
      <c r="C431" s="312" t="s">
        <v>111</v>
      </c>
      <c r="D431" s="314">
        <v>1447</v>
      </c>
      <c r="E431" s="313" t="s">
        <v>929</v>
      </c>
      <c r="F431" s="315" t="str">
        <f>IF(IF(A431="","",COUNTIF(CONSOLIDADO!$A:$A,$A431))=0,"REVISAR","OK")</f>
        <v>OK</v>
      </c>
    </row>
    <row r="432" spans="1:6" ht="11.45" customHeight="1" x14ac:dyDescent="0.2">
      <c r="A432" s="312" t="s">
        <v>792</v>
      </c>
      <c r="B432" s="313" t="s">
        <v>196</v>
      </c>
      <c r="C432" s="312" t="s">
        <v>111</v>
      </c>
      <c r="D432" s="314">
        <v>1447</v>
      </c>
      <c r="E432" s="313" t="s">
        <v>2146</v>
      </c>
      <c r="F432" s="315" t="str">
        <f>IF(IF(A432="","",COUNTIF(CONSOLIDADO!$A:$A,$A432))=0,"REVISAR","OK")</f>
        <v>OK</v>
      </c>
    </row>
    <row r="433" spans="1:6" ht="11.45" customHeight="1" x14ac:dyDescent="0.2">
      <c r="A433" s="312" t="s">
        <v>792</v>
      </c>
      <c r="B433" s="313" t="s">
        <v>196</v>
      </c>
      <c r="C433" s="312" t="s">
        <v>111</v>
      </c>
      <c r="D433" s="314">
        <v>1450</v>
      </c>
      <c r="E433" s="313" t="s">
        <v>932</v>
      </c>
      <c r="F433" s="315" t="str">
        <f>IF(IF(A433="","",COUNTIF(CONSOLIDADO!$A:$A,$A433))=0,"REVISAR","OK")</f>
        <v>OK</v>
      </c>
    </row>
    <row r="434" spans="1:6" ht="11.45" customHeight="1" x14ac:dyDescent="0.2">
      <c r="A434" s="312" t="s">
        <v>792</v>
      </c>
      <c r="B434" s="313" t="s">
        <v>196</v>
      </c>
      <c r="C434" s="312" t="s">
        <v>111</v>
      </c>
      <c r="D434" s="314">
        <v>1480</v>
      </c>
      <c r="E434" s="313" t="s">
        <v>948</v>
      </c>
      <c r="F434" s="315" t="str">
        <f>IF(IF(A434="","",COUNTIF(CONSOLIDADO!$A:$A,$A434))=0,"REVISAR","OK")</f>
        <v>OK</v>
      </c>
    </row>
    <row r="435" spans="1:6" ht="11.45" customHeight="1" x14ac:dyDescent="0.2">
      <c r="A435" s="312" t="s">
        <v>792</v>
      </c>
      <c r="B435" s="313" t="s">
        <v>196</v>
      </c>
      <c r="C435" s="312" t="s">
        <v>111</v>
      </c>
      <c r="D435" s="314">
        <v>1480</v>
      </c>
      <c r="E435" s="313" t="s">
        <v>2238</v>
      </c>
      <c r="F435" s="315" t="str">
        <f>IF(IF(A435="","",COUNTIF(CONSOLIDADO!$A:$A,$A435))=0,"REVISAR","OK")</f>
        <v>OK</v>
      </c>
    </row>
    <row r="436" spans="1:6" ht="11.45" customHeight="1" x14ac:dyDescent="0.2">
      <c r="A436" s="312" t="s">
        <v>792</v>
      </c>
      <c r="B436" s="313" t="s">
        <v>196</v>
      </c>
      <c r="C436" s="312" t="s">
        <v>111</v>
      </c>
      <c r="D436" s="314">
        <v>1489</v>
      </c>
      <c r="E436" s="313" t="s">
        <v>945</v>
      </c>
      <c r="F436" s="315" t="str">
        <f>IF(IF(A436="","",COUNTIF(CONSOLIDADO!$A:$A,$A436))=0,"REVISAR","OK")</f>
        <v>OK</v>
      </c>
    </row>
    <row r="437" spans="1:6" ht="11.45" customHeight="1" x14ac:dyDescent="0.2">
      <c r="A437" s="312" t="s">
        <v>792</v>
      </c>
      <c r="B437" s="313" t="s">
        <v>196</v>
      </c>
      <c r="C437" s="312" t="s">
        <v>111</v>
      </c>
      <c r="D437" s="314">
        <v>1498</v>
      </c>
      <c r="E437" s="313" t="s">
        <v>2005</v>
      </c>
      <c r="F437" s="315" t="str">
        <f>IF(IF(A437="","",COUNTIF(CONSOLIDADO!$A:$A,$A437))=0,"REVISAR","OK")</f>
        <v>OK</v>
      </c>
    </row>
    <row r="438" spans="1:6" ht="11.45" customHeight="1" x14ac:dyDescent="0.2">
      <c r="A438" s="312" t="s">
        <v>792</v>
      </c>
      <c r="B438" s="313" t="s">
        <v>196</v>
      </c>
      <c r="C438" s="312" t="s">
        <v>111</v>
      </c>
      <c r="D438" s="314">
        <v>1498</v>
      </c>
      <c r="E438" s="313" t="s">
        <v>935</v>
      </c>
      <c r="F438" s="315" t="str">
        <f>IF(IF(A438="","",COUNTIF(CONSOLIDADO!$A:$A,$A438))=0,"REVISAR","OK")</f>
        <v>OK</v>
      </c>
    </row>
    <row r="439" spans="1:6" ht="11.45" customHeight="1" x14ac:dyDescent="0.2">
      <c r="A439" s="312" t="s">
        <v>792</v>
      </c>
      <c r="B439" s="313" t="s">
        <v>196</v>
      </c>
      <c r="C439" s="312" t="s">
        <v>111</v>
      </c>
      <c r="D439" s="314">
        <v>1498</v>
      </c>
      <c r="E439" s="313" t="s">
        <v>948</v>
      </c>
      <c r="F439" s="315" t="str">
        <f>IF(IF(A439="","",COUNTIF(CONSOLIDADO!$A:$A,$A439))=0,"REVISAR","OK")</f>
        <v>OK</v>
      </c>
    </row>
    <row r="440" spans="1:6" ht="11.45" customHeight="1" x14ac:dyDescent="0.2">
      <c r="A440" s="312" t="s">
        <v>792</v>
      </c>
      <c r="B440" s="313" t="s">
        <v>196</v>
      </c>
      <c r="C440" s="312" t="s">
        <v>111</v>
      </c>
      <c r="D440" s="314">
        <v>1587</v>
      </c>
      <c r="E440" s="313" t="s">
        <v>2238</v>
      </c>
      <c r="F440" s="315" t="str">
        <f>IF(IF(A440="","",COUNTIF(CONSOLIDADO!$A:$A,$A440))=0,"REVISAR","OK")</f>
        <v>OK</v>
      </c>
    </row>
    <row r="441" spans="1:6" ht="11.45" customHeight="1" x14ac:dyDescent="0.2">
      <c r="A441" s="312" t="s">
        <v>901</v>
      </c>
      <c r="B441" s="313" t="s">
        <v>266</v>
      </c>
      <c r="C441" s="312" t="s">
        <v>15</v>
      </c>
      <c r="D441" s="314">
        <v>2990</v>
      </c>
      <c r="E441" s="313" t="s">
        <v>2297</v>
      </c>
      <c r="F441" s="315" t="str">
        <f>IF(IF(A441="","",COUNTIF(CONSOLIDADO!$A:$A,$A441))=0,"REVISAR","OK")</f>
        <v>OK</v>
      </c>
    </row>
    <row r="442" spans="1:6" ht="11.45" customHeight="1" x14ac:dyDescent="0.2">
      <c r="A442" s="312" t="s">
        <v>901</v>
      </c>
      <c r="B442" s="313" t="s">
        <v>266</v>
      </c>
      <c r="C442" s="312" t="s">
        <v>15</v>
      </c>
      <c r="D442" s="314">
        <v>14783</v>
      </c>
      <c r="E442" s="313" t="s">
        <v>2070</v>
      </c>
      <c r="F442" s="315" t="str">
        <f>IF(IF(A442="","",COUNTIF(CONSOLIDADO!$A:$A,$A442))=0,"REVISAR","OK")</f>
        <v>OK</v>
      </c>
    </row>
    <row r="443" spans="1:6" ht="11.45" customHeight="1" x14ac:dyDescent="0.2">
      <c r="A443" s="312" t="s">
        <v>1002</v>
      </c>
      <c r="B443" s="313" t="s">
        <v>266</v>
      </c>
      <c r="C443" s="312" t="s">
        <v>906</v>
      </c>
      <c r="D443" s="314">
        <v>1600</v>
      </c>
      <c r="E443" s="313" t="s">
        <v>939</v>
      </c>
      <c r="F443" s="315" t="str">
        <f>IF(IF(A443="","",COUNTIF(CONSOLIDADO!$A:$A,$A443))=0,"REVISAR","OK")</f>
        <v>OK</v>
      </c>
    </row>
    <row r="444" spans="1:6" ht="11.45" customHeight="1" x14ac:dyDescent="0.2">
      <c r="A444" s="312" t="s">
        <v>1002</v>
      </c>
      <c r="B444" s="313" t="s">
        <v>266</v>
      </c>
      <c r="C444" s="312" t="s">
        <v>906</v>
      </c>
      <c r="D444" s="314">
        <v>2039</v>
      </c>
      <c r="E444" s="313" t="s">
        <v>2146</v>
      </c>
      <c r="F444" s="315" t="str">
        <f>IF(IF(A444="","",COUNTIF(CONSOLIDADO!$A:$A,$A444))=0,"REVISAR","OK")</f>
        <v>OK</v>
      </c>
    </row>
    <row r="445" spans="1:6" ht="11.45" customHeight="1" x14ac:dyDescent="0.2">
      <c r="A445" s="312" t="s">
        <v>1002</v>
      </c>
      <c r="B445" s="313" t="s">
        <v>266</v>
      </c>
      <c r="C445" s="312" t="s">
        <v>906</v>
      </c>
      <c r="D445" s="314">
        <v>2682</v>
      </c>
      <c r="E445" s="313" t="s">
        <v>951</v>
      </c>
      <c r="F445" s="315" t="str">
        <f>IF(IF(A445="","",COUNTIF(CONSOLIDADO!$A:$A,$A445))=0,"REVISAR","OK")</f>
        <v>OK</v>
      </c>
    </row>
    <row r="446" spans="1:6" ht="11.45" customHeight="1" x14ac:dyDescent="0.2">
      <c r="A446" s="312" t="s">
        <v>1002</v>
      </c>
      <c r="B446" s="313" t="s">
        <v>266</v>
      </c>
      <c r="C446" s="312" t="s">
        <v>906</v>
      </c>
      <c r="D446" s="314">
        <v>2899</v>
      </c>
      <c r="E446" s="313" t="s">
        <v>937</v>
      </c>
      <c r="F446" s="315" t="str">
        <f>IF(IF(A446="","",COUNTIF(CONSOLIDADO!$A:$A,$A446))=0,"REVISAR","OK")</f>
        <v>OK</v>
      </c>
    </row>
    <row r="447" spans="1:6" ht="11.45" customHeight="1" x14ac:dyDescent="0.2">
      <c r="A447" s="312" t="s">
        <v>1002</v>
      </c>
      <c r="B447" s="313" t="s">
        <v>266</v>
      </c>
      <c r="C447" s="312" t="s">
        <v>906</v>
      </c>
      <c r="D447" s="314">
        <v>3332</v>
      </c>
      <c r="E447" s="313" t="s">
        <v>929</v>
      </c>
      <c r="F447" s="315" t="str">
        <f>IF(IF(A447="","",COUNTIF(CONSOLIDADO!$A:$A,$A447))=0,"REVISAR","OK")</f>
        <v>OK</v>
      </c>
    </row>
    <row r="448" spans="1:6" ht="11.45" customHeight="1" x14ac:dyDescent="0.2">
      <c r="A448" s="312" t="s">
        <v>1002</v>
      </c>
      <c r="B448" s="313" t="s">
        <v>266</v>
      </c>
      <c r="C448" s="312" t="s">
        <v>906</v>
      </c>
      <c r="D448" s="314">
        <v>3451</v>
      </c>
      <c r="E448" s="313" t="s">
        <v>1115</v>
      </c>
      <c r="F448" s="315" t="str">
        <f>IF(IF(A448="","",COUNTIF(CONSOLIDADO!$A:$A,$A448))=0,"REVISAR","OK")</f>
        <v>OK</v>
      </c>
    </row>
    <row r="449" spans="1:6" ht="11.45" customHeight="1" x14ac:dyDescent="0.2">
      <c r="A449" s="312" t="s">
        <v>1002</v>
      </c>
      <c r="B449" s="313" t="s">
        <v>266</v>
      </c>
      <c r="C449" s="312" t="s">
        <v>906</v>
      </c>
      <c r="D449" s="314">
        <v>3460</v>
      </c>
      <c r="E449" s="313" t="s">
        <v>944</v>
      </c>
      <c r="F449" s="315" t="str">
        <f>IF(IF(A449="","",COUNTIF(CONSOLIDADO!$A:$A,$A449))=0,"REVISAR","OK")</f>
        <v>OK</v>
      </c>
    </row>
    <row r="450" spans="1:6" ht="11.45" customHeight="1" x14ac:dyDescent="0.2">
      <c r="A450" s="312" t="s">
        <v>1002</v>
      </c>
      <c r="B450" s="313" t="s">
        <v>266</v>
      </c>
      <c r="C450" s="312" t="s">
        <v>906</v>
      </c>
      <c r="D450" s="314">
        <v>4046</v>
      </c>
      <c r="E450" s="313" t="s">
        <v>2275</v>
      </c>
      <c r="F450" s="315" t="str">
        <f>IF(IF(A450="","",COUNTIF(CONSOLIDADO!$A:$A,$A450))=0,"REVISAR","OK")</f>
        <v>OK</v>
      </c>
    </row>
    <row r="451" spans="1:6" ht="11.45" customHeight="1" x14ac:dyDescent="0.2">
      <c r="A451" s="312" t="s">
        <v>1002</v>
      </c>
      <c r="B451" s="313" t="s">
        <v>266</v>
      </c>
      <c r="C451" s="312" t="s">
        <v>906</v>
      </c>
      <c r="D451" s="314">
        <v>4190</v>
      </c>
      <c r="E451" s="313" t="s">
        <v>937</v>
      </c>
      <c r="F451" s="315" t="str">
        <f>IF(IF(A451="","",COUNTIF(CONSOLIDADO!$A:$A,$A451))=0,"REVISAR","OK")</f>
        <v>OK</v>
      </c>
    </row>
    <row r="452" spans="1:6" ht="11.45" customHeight="1" x14ac:dyDescent="0.2">
      <c r="A452" s="312" t="s">
        <v>1002</v>
      </c>
      <c r="B452" s="313" t="s">
        <v>266</v>
      </c>
      <c r="C452" s="312" t="s">
        <v>906</v>
      </c>
      <c r="D452" s="314">
        <v>4800</v>
      </c>
      <c r="E452" s="313" t="s">
        <v>2073</v>
      </c>
      <c r="F452" s="315" t="str">
        <f>IF(IF(A452="","",COUNTIF(CONSOLIDADO!$A:$A,$A452))=0,"REVISAR","OK")</f>
        <v>OK</v>
      </c>
    </row>
    <row r="453" spans="1:6" ht="11.45" customHeight="1" x14ac:dyDescent="0.2">
      <c r="A453" s="312" t="s">
        <v>1002</v>
      </c>
      <c r="B453" s="313" t="s">
        <v>266</v>
      </c>
      <c r="C453" s="312" t="s">
        <v>906</v>
      </c>
      <c r="D453" s="314">
        <v>6902</v>
      </c>
      <c r="E453" s="313" t="s">
        <v>982</v>
      </c>
      <c r="F453" s="315" t="str">
        <f>IF(IF(A453="","",COUNTIF(CONSOLIDADO!$A:$A,$A453))=0,"REVISAR","OK")</f>
        <v>OK</v>
      </c>
    </row>
    <row r="454" spans="1:6" ht="11.45" customHeight="1" x14ac:dyDescent="0.2">
      <c r="A454" s="312" t="s">
        <v>1002</v>
      </c>
      <c r="B454" s="313" t="s">
        <v>266</v>
      </c>
      <c r="C454" s="312" t="s">
        <v>906</v>
      </c>
      <c r="D454" s="314">
        <v>8310</v>
      </c>
      <c r="E454" s="313" t="s">
        <v>2232</v>
      </c>
      <c r="F454" s="315" t="str">
        <f>IF(IF(A454="","",COUNTIF(CONSOLIDADO!$A:$A,$A454))=0,"REVISAR","OK")</f>
        <v>OK</v>
      </c>
    </row>
    <row r="455" spans="1:6" ht="11.45" customHeight="1" x14ac:dyDescent="0.2">
      <c r="A455" s="312" t="s">
        <v>918</v>
      </c>
      <c r="B455" s="313" t="s">
        <v>917</v>
      </c>
      <c r="C455" s="312" t="s">
        <v>15</v>
      </c>
      <c r="D455" s="314">
        <v>139</v>
      </c>
      <c r="E455" s="313" t="s">
        <v>2176</v>
      </c>
      <c r="F455" s="315" t="str">
        <f>IF(IF(A455="","",COUNTIF(CONSOLIDADO!$A:$A,$A455))=0,"REVISAR","OK")</f>
        <v>OK</v>
      </c>
    </row>
    <row r="456" spans="1:6" ht="11.45" customHeight="1" x14ac:dyDescent="0.2">
      <c r="A456" s="312" t="s">
        <v>918</v>
      </c>
      <c r="B456" s="313" t="s">
        <v>917</v>
      </c>
      <c r="C456" s="312" t="s">
        <v>15</v>
      </c>
      <c r="D456" s="314">
        <v>390</v>
      </c>
      <c r="E456" s="313" t="s">
        <v>945</v>
      </c>
      <c r="F456" s="315" t="str">
        <f>IF(IF(A456="","",COUNTIF(CONSOLIDADO!$A:$A,$A456))=0,"REVISAR","OK")</f>
        <v>OK</v>
      </c>
    </row>
    <row r="457" spans="1:6" ht="11.45" customHeight="1" x14ac:dyDescent="0.2">
      <c r="A457" s="312" t="s">
        <v>918</v>
      </c>
      <c r="B457" s="313" t="s">
        <v>917</v>
      </c>
      <c r="C457" s="312" t="s">
        <v>15</v>
      </c>
      <c r="D457" s="314">
        <v>618</v>
      </c>
      <c r="E457" s="313" t="s">
        <v>937</v>
      </c>
      <c r="F457" s="315" t="str">
        <f>IF(IF(A457="","",COUNTIF(CONSOLIDADO!$A:$A,$A457))=0,"REVISAR","OK")</f>
        <v>OK</v>
      </c>
    </row>
    <row r="458" spans="1:6" ht="11.45" customHeight="1" x14ac:dyDescent="0.2">
      <c r="A458" s="312" t="s">
        <v>918</v>
      </c>
      <c r="B458" s="313" t="s">
        <v>917</v>
      </c>
      <c r="C458" s="312" t="s">
        <v>15</v>
      </c>
      <c r="D458" s="314">
        <v>800</v>
      </c>
      <c r="E458" s="313" t="s">
        <v>931</v>
      </c>
      <c r="F458" s="315" t="str">
        <f>IF(IF(A458="","",COUNTIF(CONSOLIDADO!$A:$A,$A458))=0,"REVISAR","OK")</f>
        <v>OK</v>
      </c>
    </row>
    <row r="459" spans="1:6" ht="11.45" customHeight="1" x14ac:dyDescent="0.2">
      <c r="A459" s="312" t="s">
        <v>918</v>
      </c>
      <c r="B459" s="313" t="s">
        <v>917</v>
      </c>
      <c r="C459" s="312" t="s">
        <v>15</v>
      </c>
      <c r="D459" s="314">
        <v>990</v>
      </c>
      <c r="E459" s="313" t="s">
        <v>945</v>
      </c>
      <c r="F459" s="315" t="str">
        <f>IF(IF(A459="","",COUNTIF(CONSOLIDADO!$A:$A,$A459))=0,"REVISAR","OK")</f>
        <v>OK</v>
      </c>
    </row>
    <row r="460" spans="1:6" ht="11.45" customHeight="1" x14ac:dyDescent="0.2">
      <c r="A460" s="312" t="s">
        <v>918</v>
      </c>
      <c r="B460" s="313" t="s">
        <v>917</v>
      </c>
      <c r="C460" s="312" t="s">
        <v>15</v>
      </c>
      <c r="D460" s="314">
        <v>1000</v>
      </c>
      <c r="E460" s="313" t="s">
        <v>2274</v>
      </c>
      <c r="F460" s="315" t="str">
        <f>IF(IF(A460="","",COUNTIF(CONSOLIDADO!$A:$A,$A460))=0,"REVISAR","OK")</f>
        <v>OK</v>
      </c>
    </row>
    <row r="461" spans="1:6" ht="11.45" customHeight="1" x14ac:dyDescent="0.2">
      <c r="A461" s="312" t="s">
        <v>918</v>
      </c>
      <c r="B461" s="313" t="s">
        <v>917</v>
      </c>
      <c r="C461" s="312" t="s">
        <v>15</v>
      </c>
      <c r="D461" s="314">
        <v>1000</v>
      </c>
      <c r="E461" s="313" t="s">
        <v>938</v>
      </c>
      <c r="F461" s="315" t="str">
        <f>IF(IF(A461="","",COUNTIF(CONSOLIDADO!$A:$A,$A461))=0,"REVISAR","OK")</f>
        <v>OK</v>
      </c>
    </row>
    <row r="462" spans="1:6" ht="11.45" customHeight="1" x14ac:dyDescent="0.2">
      <c r="A462" s="312" t="s">
        <v>918</v>
      </c>
      <c r="B462" s="313" t="s">
        <v>917</v>
      </c>
      <c r="C462" s="312" t="s">
        <v>15</v>
      </c>
      <c r="D462" s="314">
        <v>1000</v>
      </c>
      <c r="E462" s="313" t="s">
        <v>943</v>
      </c>
      <c r="F462" s="315" t="str">
        <f>IF(IF(A462="","",COUNTIF(CONSOLIDADO!$A:$A,$A462))=0,"REVISAR","OK")</f>
        <v>OK</v>
      </c>
    </row>
    <row r="463" spans="1:6" ht="11.45" customHeight="1" x14ac:dyDescent="0.2">
      <c r="A463" s="312" t="s">
        <v>918</v>
      </c>
      <c r="B463" s="313" t="s">
        <v>917</v>
      </c>
      <c r="C463" s="312" t="s">
        <v>15</v>
      </c>
      <c r="D463" s="314">
        <v>1130</v>
      </c>
      <c r="E463" s="313" t="s">
        <v>2233</v>
      </c>
      <c r="F463" s="315" t="str">
        <f>IF(IF(A463="","",COUNTIF(CONSOLIDADO!$A:$A,$A463))=0,"REVISAR","OK")</f>
        <v>OK</v>
      </c>
    </row>
    <row r="464" spans="1:6" ht="11.45" customHeight="1" x14ac:dyDescent="0.2">
      <c r="A464" s="312" t="s">
        <v>918</v>
      </c>
      <c r="B464" s="313" t="s">
        <v>917</v>
      </c>
      <c r="C464" s="312" t="s">
        <v>15</v>
      </c>
      <c r="D464" s="314">
        <v>1166</v>
      </c>
      <c r="E464" s="313" t="s">
        <v>2258</v>
      </c>
      <c r="F464" s="315" t="str">
        <f>IF(IF(A464="","",COUNTIF(CONSOLIDADO!$A:$A,$A464))=0,"REVISAR","OK")</f>
        <v>OK</v>
      </c>
    </row>
    <row r="465" spans="1:6" ht="11.45" customHeight="1" x14ac:dyDescent="0.2">
      <c r="A465" s="312" t="s">
        <v>918</v>
      </c>
      <c r="B465" s="313" t="s">
        <v>917</v>
      </c>
      <c r="C465" s="312" t="s">
        <v>15</v>
      </c>
      <c r="D465" s="314">
        <v>1199</v>
      </c>
      <c r="E465" s="313" t="s">
        <v>2329</v>
      </c>
      <c r="F465" s="315" t="str">
        <f>IF(IF(A465="","",COUNTIF(CONSOLIDADO!$A:$A,$A465))=0,"REVISAR","OK")</f>
        <v>OK</v>
      </c>
    </row>
    <row r="466" spans="1:6" ht="11.45" customHeight="1" x14ac:dyDescent="0.2">
      <c r="A466" s="312" t="s">
        <v>918</v>
      </c>
      <c r="B466" s="313" t="s">
        <v>917</v>
      </c>
      <c r="C466" s="312" t="s">
        <v>15</v>
      </c>
      <c r="D466" s="314">
        <v>1200</v>
      </c>
      <c r="E466" s="313" t="s">
        <v>938</v>
      </c>
      <c r="F466" s="315" t="str">
        <f>IF(IF(A466="","",COUNTIF(CONSOLIDADO!$A:$A,$A466))=0,"REVISAR","OK")</f>
        <v>OK</v>
      </c>
    </row>
    <row r="467" spans="1:6" ht="11.45" customHeight="1" x14ac:dyDescent="0.2">
      <c r="A467" s="312" t="s">
        <v>918</v>
      </c>
      <c r="B467" s="313" t="s">
        <v>917</v>
      </c>
      <c r="C467" s="312" t="s">
        <v>15</v>
      </c>
      <c r="D467" s="314">
        <v>1290</v>
      </c>
      <c r="E467" s="313" t="s">
        <v>931</v>
      </c>
      <c r="F467" s="315" t="str">
        <f>IF(IF(A467="","",COUNTIF(CONSOLIDADO!$A:$A,$A467))=0,"REVISAR","OK")</f>
        <v>OK</v>
      </c>
    </row>
    <row r="468" spans="1:6" ht="11.45" customHeight="1" x14ac:dyDescent="0.2">
      <c r="A468" s="312" t="s">
        <v>918</v>
      </c>
      <c r="B468" s="313" t="s">
        <v>917</v>
      </c>
      <c r="C468" s="312" t="s">
        <v>15</v>
      </c>
      <c r="D468" s="314">
        <v>1309</v>
      </c>
      <c r="E468" s="313" t="s">
        <v>2070</v>
      </c>
      <c r="F468" s="315" t="str">
        <f>IF(IF(A468="","",COUNTIF(CONSOLIDADO!$A:$A,$A468))=0,"REVISAR","OK")</f>
        <v>OK</v>
      </c>
    </row>
    <row r="469" spans="1:6" ht="11.45" customHeight="1" x14ac:dyDescent="0.2">
      <c r="A469" s="312" t="s">
        <v>918</v>
      </c>
      <c r="B469" s="313" t="s">
        <v>917</v>
      </c>
      <c r="C469" s="312" t="s">
        <v>15</v>
      </c>
      <c r="D469" s="314">
        <v>1350</v>
      </c>
      <c r="E469" s="313" t="s">
        <v>2210</v>
      </c>
      <c r="F469" s="315" t="str">
        <f>IF(IF(A469="","",COUNTIF(CONSOLIDADO!$A:$A,$A469))=0,"REVISAR","OK")</f>
        <v>OK</v>
      </c>
    </row>
    <row r="470" spans="1:6" ht="11.45" customHeight="1" x14ac:dyDescent="0.2">
      <c r="A470" s="312" t="s">
        <v>918</v>
      </c>
      <c r="B470" s="313" t="s">
        <v>917</v>
      </c>
      <c r="C470" s="312" t="s">
        <v>15</v>
      </c>
      <c r="D470" s="314">
        <v>1400</v>
      </c>
      <c r="E470" s="313" t="s">
        <v>2210</v>
      </c>
      <c r="F470" s="315" t="str">
        <f>IF(IF(A470="","",COUNTIF(CONSOLIDADO!$A:$A,$A470))=0,"REVISAR","OK")</f>
        <v>OK</v>
      </c>
    </row>
    <row r="471" spans="1:6" ht="11.45" customHeight="1" x14ac:dyDescent="0.2">
      <c r="A471" s="312" t="s">
        <v>918</v>
      </c>
      <c r="B471" s="313" t="s">
        <v>917</v>
      </c>
      <c r="C471" s="312" t="s">
        <v>15</v>
      </c>
      <c r="D471" s="314">
        <v>1500</v>
      </c>
      <c r="E471" s="313" t="s">
        <v>938</v>
      </c>
      <c r="F471" s="315" t="str">
        <f>IF(IF(A471="","",COUNTIF(CONSOLIDADO!$A:$A,$A471))=0,"REVISAR","OK")</f>
        <v>OK</v>
      </c>
    </row>
    <row r="472" spans="1:6" ht="11.45" customHeight="1" x14ac:dyDescent="0.2">
      <c r="A472" s="312" t="s">
        <v>918</v>
      </c>
      <c r="B472" s="313" t="s">
        <v>917</v>
      </c>
      <c r="C472" s="312" t="s">
        <v>15</v>
      </c>
      <c r="D472" s="314">
        <v>1500</v>
      </c>
      <c r="E472" s="313" t="s">
        <v>2211</v>
      </c>
      <c r="F472" s="315" t="str">
        <f>IF(IF(A472="","",COUNTIF(CONSOLIDADO!$A:$A,$A472))=0,"REVISAR","OK")</f>
        <v>OK</v>
      </c>
    </row>
    <row r="473" spans="1:6" ht="11.45" customHeight="1" x14ac:dyDescent="0.2">
      <c r="A473" s="312" t="s">
        <v>918</v>
      </c>
      <c r="B473" s="313" t="s">
        <v>917</v>
      </c>
      <c r="C473" s="312" t="s">
        <v>15</v>
      </c>
      <c r="D473" s="314">
        <v>1500</v>
      </c>
      <c r="E473" s="313" t="s">
        <v>944</v>
      </c>
      <c r="F473" s="315" t="str">
        <f>IF(IF(A473="","",COUNTIF(CONSOLIDADO!$A:$A,$A473))=0,"REVISAR","OK")</f>
        <v>OK</v>
      </c>
    </row>
    <row r="474" spans="1:6" ht="11.45" customHeight="1" x14ac:dyDescent="0.2">
      <c r="A474" s="312" t="s">
        <v>918</v>
      </c>
      <c r="B474" s="313" t="s">
        <v>917</v>
      </c>
      <c r="C474" s="312" t="s">
        <v>15</v>
      </c>
      <c r="D474" s="314">
        <v>1500</v>
      </c>
      <c r="E474" s="313" t="s">
        <v>2210</v>
      </c>
      <c r="F474" s="315" t="str">
        <f>IF(IF(A474="","",COUNTIF(CONSOLIDADO!$A:$A,$A474))=0,"REVISAR","OK")</f>
        <v>OK</v>
      </c>
    </row>
    <row r="475" spans="1:6" ht="11.45" customHeight="1" x14ac:dyDescent="0.2">
      <c r="A475" s="312" t="s">
        <v>918</v>
      </c>
      <c r="B475" s="313" t="s">
        <v>917</v>
      </c>
      <c r="C475" s="312" t="s">
        <v>15</v>
      </c>
      <c r="D475" s="314">
        <v>2090</v>
      </c>
      <c r="E475" s="313" t="s">
        <v>2073</v>
      </c>
      <c r="F475" s="315" t="str">
        <f>IF(IF(A475="","",COUNTIF(CONSOLIDADO!$A:$A,$A475))=0,"REVISAR","OK")</f>
        <v>OK</v>
      </c>
    </row>
    <row r="476" spans="1:6" ht="11.45" customHeight="1" x14ac:dyDescent="0.2">
      <c r="A476" s="312" t="s">
        <v>794</v>
      </c>
      <c r="B476" s="313" t="s">
        <v>438</v>
      </c>
      <c r="C476" s="312" t="s">
        <v>15</v>
      </c>
      <c r="D476" s="314">
        <v>4424</v>
      </c>
      <c r="E476" s="313" t="s">
        <v>2233</v>
      </c>
      <c r="F476" s="315" t="str">
        <f>IF(IF(A476="","",COUNTIF(CONSOLIDADO!$A:$A,$A476))=0,"REVISAR","OK")</f>
        <v>OK</v>
      </c>
    </row>
    <row r="477" spans="1:6" ht="11.45" customHeight="1" x14ac:dyDescent="0.2">
      <c r="A477" s="312" t="s">
        <v>794</v>
      </c>
      <c r="B477" s="313" t="s">
        <v>438</v>
      </c>
      <c r="C477" s="312" t="s">
        <v>15</v>
      </c>
      <c r="D477" s="314">
        <v>15470</v>
      </c>
      <c r="E477" s="313" t="s">
        <v>938</v>
      </c>
      <c r="F477" s="315" t="str">
        <f>IF(IF(A477="","",COUNTIF(CONSOLIDADO!$A:$A,$A477))=0,"REVISAR","OK")</f>
        <v>OK</v>
      </c>
    </row>
    <row r="478" spans="1:6" ht="11.45" customHeight="1" x14ac:dyDescent="0.2">
      <c r="A478" s="312" t="s">
        <v>1003</v>
      </c>
      <c r="B478" s="313" t="s">
        <v>12</v>
      </c>
      <c r="C478" s="312" t="s">
        <v>906</v>
      </c>
      <c r="D478" s="314">
        <v>3290</v>
      </c>
      <c r="E478" s="313" t="s">
        <v>2176</v>
      </c>
      <c r="F478" s="315" t="str">
        <f>IF(IF(A478="","",COUNTIF(CONSOLIDADO!$A:$A,$A478))=0,"REVISAR","OK")</f>
        <v>OK</v>
      </c>
    </row>
    <row r="479" spans="1:6" ht="11.45" customHeight="1" x14ac:dyDescent="0.2">
      <c r="A479" s="312" t="s">
        <v>795</v>
      </c>
      <c r="B479" s="313" t="s">
        <v>12</v>
      </c>
      <c r="C479" s="312" t="s">
        <v>15</v>
      </c>
      <c r="D479" s="314">
        <v>2856</v>
      </c>
      <c r="E479" s="313" t="s">
        <v>929</v>
      </c>
      <c r="F479" s="315" t="str">
        <f>IF(IF(A479="","",COUNTIF(CONSOLIDADO!$A:$A,$A479))=0,"REVISAR","OK")</f>
        <v>OK</v>
      </c>
    </row>
    <row r="480" spans="1:6" ht="11.45" customHeight="1" x14ac:dyDescent="0.2">
      <c r="A480" s="312" t="s">
        <v>795</v>
      </c>
      <c r="B480" s="313" t="s">
        <v>12</v>
      </c>
      <c r="C480" s="312" t="s">
        <v>15</v>
      </c>
      <c r="D480" s="314">
        <v>3094</v>
      </c>
      <c r="E480" s="313" t="s">
        <v>982</v>
      </c>
      <c r="F480" s="315" t="str">
        <f>IF(IF(A480="","",COUNTIF(CONSOLIDADO!$A:$A,$A480))=0,"REVISAR","OK")</f>
        <v>OK</v>
      </c>
    </row>
    <row r="481" spans="1:6" ht="11.45" customHeight="1" x14ac:dyDescent="0.2">
      <c r="A481" s="312" t="s">
        <v>795</v>
      </c>
      <c r="B481" s="313" t="s">
        <v>12</v>
      </c>
      <c r="C481" s="312" t="s">
        <v>15</v>
      </c>
      <c r="D481" s="314">
        <v>3600</v>
      </c>
      <c r="E481" s="313" t="s">
        <v>974</v>
      </c>
      <c r="F481" s="315" t="str">
        <f>IF(IF(A481="","",COUNTIF(CONSOLIDADO!$A:$A,$A481))=0,"REVISAR","OK")</f>
        <v>OK</v>
      </c>
    </row>
    <row r="482" spans="1:6" ht="11.45" customHeight="1" x14ac:dyDescent="0.2">
      <c r="A482" s="312" t="s">
        <v>795</v>
      </c>
      <c r="B482" s="313" t="s">
        <v>12</v>
      </c>
      <c r="C482" s="312" t="s">
        <v>15</v>
      </c>
      <c r="D482" s="314">
        <v>4800</v>
      </c>
      <c r="E482" s="313" t="s">
        <v>936</v>
      </c>
      <c r="F482" s="315" t="str">
        <f>IF(IF(A482="","",COUNTIF(CONSOLIDADO!$A:$A,$A482))=0,"REVISAR","OK")</f>
        <v>OK</v>
      </c>
    </row>
    <row r="483" spans="1:6" ht="11.45" customHeight="1" x14ac:dyDescent="0.2">
      <c r="A483" s="312" t="s">
        <v>795</v>
      </c>
      <c r="B483" s="313" t="s">
        <v>12</v>
      </c>
      <c r="C483" s="312" t="s">
        <v>15</v>
      </c>
      <c r="D483" s="314">
        <v>6177</v>
      </c>
      <c r="E483" s="313" t="s">
        <v>937</v>
      </c>
      <c r="F483" s="315" t="str">
        <f>IF(IF(A483="","",COUNTIF(CONSOLIDADO!$A:$A,$A483))=0,"REVISAR","OK")</f>
        <v>OK</v>
      </c>
    </row>
    <row r="484" spans="1:6" ht="11.45" customHeight="1" x14ac:dyDescent="0.2">
      <c r="A484" s="312" t="s">
        <v>270</v>
      </c>
      <c r="B484" s="313" t="s">
        <v>269</v>
      </c>
      <c r="C484" s="312" t="s">
        <v>15</v>
      </c>
      <c r="D484" s="314">
        <v>1100</v>
      </c>
      <c r="E484" s="313" t="s">
        <v>929</v>
      </c>
      <c r="F484" s="315" t="str">
        <f>IF(IF(A484="","",COUNTIF(CONSOLIDADO!$A:$A,$A484))=0,"REVISAR","OK")</f>
        <v>OK</v>
      </c>
    </row>
    <row r="485" spans="1:6" ht="11.45" customHeight="1" x14ac:dyDescent="0.2">
      <c r="A485" s="312" t="s">
        <v>270</v>
      </c>
      <c r="B485" s="313" t="s">
        <v>269</v>
      </c>
      <c r="C485" s="312" t="s">
        <v>15</v>
      </c>
      <c r="D485" s="314">
        <v>3500</v>
      </c>
      <c r="E485" s="313" t="s">
        <v>943</v>
      </c>
      <c r="F485" s="315" t="str">
        <f>IF(IF(A485="","",COUNTIF(CONSOLIDADO!$A:$A,$A485))=0,"REVISAR","OK")</f>
        <v>OK</v>
      </c>
    </row>
    <row r="486" spans="1:6" ht="11.45" customHeight="1" x14ac:dyDescent="0.2">
      <c r="A486" s="312" t="s">
        <v>270</v>
      </c>
      <c r="B486" s="313" t="s">
        <v>269</v>
      </c>
      <c r="C486" s="312" t="s">
        <v>15</v>
      </c>
      <c r="D486" s="314">
        <v>4000</v>
      </c>
      <c r="E486" s="313" t="s">
        <v>943</v>
      </c>
      <c r="F486" s="315" t="str">
        <f>IF(IF(A486="","",COUNTIF(CONSOLIDADO!$A:$A,$A486))=0,"REVISAR","OK")</f>
        <v>OK</v>
      </c>
    </row>
    <row r="487" spans="1:6" ht="11.45" customHeight="1" x14ac:dyDescent="0.2">
      <c r="A487" s="312" t="s">
        <v>270</v>
      </c>
      <c r="B487" s="313" t="s">
        <v>269</v>
      </c>
      <c r="C487" s="312" t="s">
        <v>15</v>
      </c>
      <c r="D487" s="314">
        <v>7140</v>
      </c>
      <c r="E487" s="313" t="s">
        <v>946</v>
      </c>
      <c r="F487" s="315" t="str">
        <f>IF(IF(A487="","",COUNTIF(CONSOLIDADO!$A:$A,$A487))=0,"REVISAR","OK")</f>
        <v>OK</v>
      </c>
    </row>
    <row r="488" spans="1:6" ht="11.45" customHeight="1" x14ac:dyDescent="0.2">
      <c r="A488" s="312" t="s">
        <v>1330</v>
      </c>
      <c r="B488" s="313" t="s">
        <v>1331</v>
      </c>
      <c r="C488" s="312" t="s">
        <v>906</v>
      </c>
      <c r="D488" s="314">
        <v>6252</v>
      </c>
      <c r="E488" s="313" t="s">
        <v>935</v>
      </c>
      <c r="F488" s="315" t="str">
        <f>IF(IF(A488="","",COUNTIF(CONSOLIDADO!$A:$A,$A488))=0,"REVISAR","OK")</f>
        <v>OK</v>
      </c>
    </row>
    <row r="489" spans="1:6" ht="11.45" customHeight="1" x14ac:dyDescent="0.2">
      <c r="A489" s="312" t="s">
        <v>1330</v>
      </c>
      <c r="B489" s="313" t="s">
        <v>1331</v>
      </c>
      <c r="C489" s="312" t="s">
        <v>906</v>
      </c>
      <c r="D489" s="314">
        <v>6545</v>
      </c>
      <c r="E489" s="313" t="s">
        <v>935</v>
      </c>
      <c r="F489" s="315" t="str">
        <f>IF(IF(A489="","",COUNTIF(CONSOLIDADO!$A:$A,$A489))=0,"REVISAR","OK")</f>
        <v>OK</v>
      </c>
    </row>
    <row r="490" spans="1:6" ht="11.45" customHeight="1" x14ac:dyDescent="0.2">
      <c r="A490" s="312" t="s">
        <v>1330</v>
      </c>
      <c r="B490" s="313" t="s">
        <v>1331</v>
      </c>
      <c r="C490" s="312" t="s">
        <v>906</v>
      </c>
      <c r="D490" s="314">
        <v>7990</v>
      </c>
      <c r="E490" s="313" t="s">
        <v>929</v>
      </c>
      <c r="F490" s="315" t="str">
        <f>IF(IF(A490="","",COUNTIF(CONSOLIDADO!$A:$A,$A490))=0,"REVISAR","OK")</f>
        <v>OK</v>
      </c>
    </row>
    <row r="491" spans="1:6" ht="11.45" customHeight="1" x14ac:dyDescent="0.2">
      <c r="A491" s="312" t="s">
        <v>796</v>
      </c>
      <c r="B491" s="313" t="s">
        <v>562</v>
      </c>
      <c r="C491" s="312" t="s">
        <v>906</v>
      </c>
      <c r="D491" s="314">
        <v>2790</v>
      </c>
      <c r="E491" s="313" t="s">
        <v>2073</v>
      </c>
      <c r="F491" s="315" t="str">
        <f>IF(IF(A491="","",COUNTIF(CONSOLIDADO!$A:$A,$A491))=0,"REVISAR","OK")</f>
        <v>OK</v>
      </c>
    </row>
    <row r="492" spans="1:6" ht="11.45" customHeight="1" x14ac:dyDescent="0.2">
      <c r="A492" s="312" t="s">
        <v>796</v>
      </c>
      <c r="B492" s="313" t="s">
        <v>562</v>
      </c>
      <c r="C492" s="312" t="s">
        <v>906</v>
      </c>
      <c r="D492" s="314">
        <v>4760</v>
      </c>
      <c r="E492" s="313" t="s">
        <v>935</v>
      </c>
      <c r="F492" s="315" t="str">
        <f>IF(IF(A492="","",COUNTIF(CONSOLIDADO!$A:$A,$A492))=0,"REVISAR","OK")</f>
        <v>OK</v>
      </c>
    </row>
    <row r="493" spans="1:6" ht="11.45" customHeight="1" x14ac:dyDescent="0.2">
      <c r="A493" s="312" t="s">
        <v>798</v>
      </c>
      <c r="B493" s="313" t="s">
        <v>480</v>
      </c>
      <c r="C493" s="312" t="s">
        <v>111</v>
      </c>
      <c r="D493" s="314">
        <v>2618</v>
      </c>
      <c r="E493" s="313" t="s">
        <v>939</v>
      </c>
      <c r="F493" s="315" t="str">
        <f>IF(IF(A493="","",COUNTIF(CONSOLIDADO!$A:$A,$A493))=0,"REVISAR","OK")</f>
        <v>OK</v>
      </c>
    </row>
    <row r="494" spans="1:6" ht="11.45" customHeight="1" x14ac:dyDescent="0.2">
      <c r="A494" s="312" t="s">
        <v>801</v>
      </c>
      <c r="B494" s="313" t="s">
        <v>1004</v>
      </c>
      <c r="C494" s="312" t="s">
        <v>15</v>
      </c>
      <c r="D494" s="314">
        <v>4450</v>
      </c>
      <c r="E494" s="313" t="s">
        <v>2276</v>
      </c>
      <c r="F494" s="315" t="str">
        <f>IF(IF(A494="","",COUNTIF(CONSOLIDADO!$A:$A,$A494))=0,"REVISAR","OK")</f>
        <v>OK</v>
      </c>
    </row>
    <row r="495" spans="1:6" ht="11.45" customHeight="1" x14ac:dyDescent="0.2">
      <c r="A495" s="312" t="s">
        <v>803</v>
      </c>
      <c r="B495" s="313" t="s">
        <v>88</v>
      </c>
      <c r="C495" s="312" t="s">
        <v>15</v>
      </c>
      <c r="D495" s="314">
        <v>990</v>
      </c>
      <c r="E495" s="313" t="s">
        <v>945</v>
      </c>
      <c r="F495" s="315" t="str">
        <f>IF(IF(A495="","",COUNTIF(CONSOLIDADO!$A:$A,$A495))=0,"REVISAR","OK")</f>
        <v>OK</v>
      </c>
    </row>
    <row r="496" spans="1:6" ht="11.45" customHeight="1" x14ac:dyDescent="0.2">
      <c r="A496" s="312" t="s">
        <v>803</v>
      </c>
      <c r="B496" s="313" t="s">
        <v>88</v>
      </c>
      <c r="C496" s="312" t="s">
        <v>15</v>
      </c>
      <c r="D496" s="314">
        <v>991</v>
      </c>
      <c r="E496" s="313" t="s">
        <v>945</v>
      </c>
      <c r="F496" s="315" t="str">
        <f>IF(IF(A496="","",COUNTIF(CONSOLIDADO!$A:$A,$A496))=0,"REVISAR","OK")</f>
        <v>OK</v>
      </c>
    </row>
    <row r="497" spans="1:6" ht="11.45" customHeight="1" x14ac:dyDescent="0.2">
      <c r="A497" s="312" t="s">
        <v>803</v>
      </c>
      <c r="B497" s="313" t="s">
        <v>88</v>
      </c>
      <c r="C497" s="312" t="s">
        <v>15</v>
      </c>
      <c r="D497" s="314">
        <v>1059</v>
      </c>
      <c r="E497" s="313" t="s">
        <v>1115</v>
      </c>
      <c r="F497" s="315" t="str">
        <f>IF(IF(A497="","",COUNTIF(CONSOLIDADO!$A:$A,$A497))=0,"REVISAR","OK")</f>
        <v>OK</v>
      </c>
    </row>
    <row r="498" spans="1:6" ht="11.45" customHeight="1" x14ac:dyDescent="0.2">
      <c r="A498" s="312" t="s">
        <v>803</v>
      </c>
      <c r="B498" s="313" t="s">
        <v>88</v>
      </c>
      <c r="C498" s="312" t="s">
        <v>15</v>
      </c>
      <c r="D498" s="314">
        <v>1199</v>
      </c>
      <c r="E498" s="313" t="s">
        <v>2329</v>
      </c>
      <c r="F498" s="315" t="str">
        <f>IF(IF(A498="","",COUNTIF(CONSOLIDADO!$A:$A,$A498))=0,"REVISAR","OK")</f>
        <v>OK</v>
      </c>
    </row>
    <row r="499" spans="1:6" ht="11.45" customHeight="1" x14ac:dyDescent="0.2">
      <c r="A499" s="312" t="s">
        <v>803</v>
      </c>
      <c r="B499" s="313" t="s">
        <v>88</v>
      </c>
      <c r="C499" s="312" t="s">
        <v>15</v>
      </c>
      <c r="D499" s="314">
        <v>1200</v>
      </c>
      <c r="E499" s="313" t="s">
        <v>939</v>
      </c>
      <c r="F499" s="315" t="str">
        <f>IF(IF(A499="","",COUNTIF(CONSOLIDADO!$A:$A,$A499))=0,"REVISAR","OK")</f>
        <v>OK</v>
      </c>
    </row>
    <row r="500" spans="1:6" ht="11.45" customHeight="1" x14ac:dyDescent="0.2">
      <c r="A500" s="312" t="s">
        <v>803</v>
      </c>
      <c r="B500" s="313" t="s">
        <v>88</v>
      </c>
      <c r="C500" s="312" t="s">
        <v>15</v>
      </c>
      <c r="D500" s="314">
        <v>1300</v>
      </c>
      <c r="E500" s="313" t="s">
        <v>938</v>
      </c>
      <c r="F500" s="315" t="str">
        <f>IF(IF(A500="","",COUNTIF(CONSOLIDADO!$A:$A,$A500))=0,"REVISAR","OK")</f>
        <v>OK</v>
      </c>
    </row>
    <row r="501" spans="1:6" ht="11.45" customHeight="1" x14ac:dyDescent="0.2">
      <c r="A501" s="312" t="s">
        <v>803</v>
      </c>
      <c r="B501" s="313" t="s">
        <v>88</v>
      </c>
      <c r="C501" s="312" t="s">
        <v>15</v>
      </c>
      <c r="D501" s="314">
        <v>1309</v>
      </c>
      <c r="E501" s="313" t="s">
        <v>2233</v>
      </c>
      <c r="F501" s="315" t="str">
        <f>IF(IF(A501="","",COUNTIF(CONSOLIDADO!$A:$A,$A501))=0,"REVISAR","OK")</f>
        <v>OK</v>
      </c>
    </row>
    <row r="502" spans="1:6" ht="11.45" customHeight="1" x14ac:dyDescent="0.2">
      <c r="A502" s="312" t="s">
        <v>803</v>
      </c>
      <c r="B502" s="313" t="s">
        <v>88</v>
      </c>
      <c r="C502" s="312" t="s">
        <v>15</v>
      </c>
      <c r="D502" s="314">
        <v>1342</v>
      </c>
      <c r="E502" s="313" t="s">
        <v>946</v>
      </c>
      <c r="F502" s="315" t="str">
        <f>IF(IF(A502="","",COUNTIF(CONSOLIDADO!$A:$A,$A502))=0,"REVISAR","OK")</f>
        <v>OK</v>
      </c>
    </row>
    <row r="503" spans="1:6" ht="11.45" customHeight="1" x14ac:dyDescent="0.2">
      <c r="A503" s="312" t="s">
        <v>803</v>
      </c>
      <c r="B503" s="313" t="s">
        <v>88</v>
      </c>
      <c r="C503" s="312" t="s">
        <v>15</v>
      </c>
      <c r="D503" s="314">
        <v>1350</v>
      </c>
      <c r="E503" s="313" t="s">
        <v>944</v>
      </c>
      <c r="F503" s="315" t="str">
        <f>IF(IF(A503="","",COUNTIF(CONSOLIDADO!$A:$A,$A503))=0,"REVISAR","OK")</f>
        <v>OK</v>
      </c>
    </row>
    <row r="504" spans="1:6" ht="11.45" customHeight="1" x14ac:dyDescent="0.2">
      <c r="A504" s="312" t="s">
        <v>803</v>
      </c>
      <c r="B504" s="313" t="s">
        <v>88</v>
      </c>
      <c r="C504" s="312" t="s">
        <v>15</v>
      </c>
      <c r="D504" s="314">
        <v>1416</v>
      </c>
      <c r="E504" s="313" t="s">
        <v>982</v>
      </c>
      <c r="F504" s="315" t="str">
        <f>IF(IF(A504="","",COUNTIF(CONSOLIDADO!$A:$A,$A504))=0,"REVISAR","OK")</f>
        <v>OK</v>
      </c>
    </row>
    <row r="505" spans="1:6" ht="11.45" customHeight="1" x14ac:dyDescent="0.2">
      <c r="A505" s="312" t="s">
        <v>803</v>
      </c>
      <c r="B505" s="313" t="s">
        <v>88</v>
      </c>
      <c r="C505" s="312" t="s">
        <v>15</v>
      </c>
      <c r="D505" s="314">
        <v>1428</v>
      </c>
      <c r="E505" s="313" t="s">
        <v>2258</v>
      </c>
      <c r="F505" s="315" t="str">
        <f>IF(IF(A505="","",COUNTIF(CONSOLIDADO!$A:$A,$A505))=0,"REVISAR","OK")</f>
        <v>OK</v>
      </c>
    </row>
    <row r="506" spans="1:6" ht="11.45" customHeight="1" x14ac:dyDescent="0.2">
      <c r="A506" s="312" t="s">
        <v>803</v>
      </c>
      <c r="B506" s="313" t="s">
        <v>88</v>
      </c>
      <c r="C506" s="312" t="s">
        <v>15</v>
      </c>
      <c r="D506" s="314">
        <v>1428</v>
      </c>
      <c r="E506" s="313" t="s">
        <v>939</v>
      </c>
      <c r="F506" s="315" t="str">
        <f>IF(IF(A506="","",COUNTIF(CONSOLIDADO!$A:$A,$A506))=0,"REVISAR","OK")</f>
        <v>OK</v>
      </c>
    </row>
    <row r="507" spans="1:6" ht="11.45" customHeight="1" x14ac:dyDescent="0.2">
      <c r="A507" s="312" t="s">
        <v>803</v>
      </c>
      <c r="B507" s="313" t="s">
        <v>88</v>
      </c>
      <c r="C507" s="312" t="s">
        <v>15</v>
      </c>
      <c r="D507" s="314">
        <v>1428</v>
      </c>
      <c r="E507" s="313" t="s">
        <v>982</v>
      </c>
      <c r="F507" s="315" t="str">
        <f>IF(IF(A507="","",COUNTIF(CONSOLIDADO!$A:$A,$A507))=0,"REVISAR","OK")</f>
        <v>OK</v>
      </c>
    </row>
    <row r="508" spans="1:6" ht="11.45" customHeight="1" x14ac:dyDescent="0.2">
      <c r="A508" s="312" t="s">
        <v>803</v>
      </c>
      <c r="B508" s="313" t="s">
        <v>88</v>
      </c>
      <c r="C508" s="312" t="s">
        <v>15</v>
      </c>
      <c r="D508" s="314">
        <v>1547</v>
      </c>
      <c r="E508" s="313" t="s">
        <v>935</v>
      </c>
      <c r="F508" s="315" t="str">
        <f>IF(IF(A508="","",COUNTIF(CONSOLIDADO!$A:$A,$A508))=0,"REVISAR","OK")</f>
        <v>OK</v>
      </c>
    </row>
    <row r="509" spans="1:6" ht="11.45" customHeight="1" x14ac:dyDescent="0.2">
      <c r="A509" s="312" t="s">
        <v>803</v>
      </c>
      <c r="B509" s="313" t="s">
        <v>88</v>
      </c>
      <c r="C509" s="312" t="s">
        <v>15</v>
      </c>
      <c r="D509" s="314">
        <v>1580</v>
      </c>
      <c r="E509" s="313" t="s">
        <v>2238</v>
      </c>
      <c r="F509" s="315" t="str">
        <f>IF(IF(A509="","",COUNTIF(CONSOLIDADO!$A:$A,$A509))=0,"REVISAR","OK")</f>
        <v>OK</v>
      </c>
    </row>
    <row r="510" spans="1:6" ht="11.45" customHeight="1" x14ac:dyDescent="0.2">
      <c r="A510" s="312" t="s">
        <v>803</v>
      </c>
      <c r="B510" s="313" t="s">
        <v>88</v>
      </c>
      <c r="C510" s="312" t="s">
        <v>15</v>
      </c>
      <c r="D510" s="314">
        <v>1649</v>
      </c>
      <c r="E510" s="313" t="s">
        <v>2005</v>
      </c>
      <c r="F510" s="315" t="str">
        <f>IF(IF(A510="","",COUNTIF(CONSOLIDADO!$A:$A,$A510))=0,"REVISAR","OK")</f>
        <v>OK</v>
      </c>
    </row>
    <row r="511" spans="1:6" ht="11.45" customHeight="1" x14ac:dyDescent="0.2">
      <c r="A511" s="312" t="s">
        <v>803</v>
      </c>
      <c r="B511" s="313" t="s">
        <v>88</v>
      </c>
      <c r="C511" s="312" t="s">
        <v>15</v>
      </c>
      <c r="D511" s="314">
        <v>1654</v>
      </c>
      <c r="E511" s="313" t="s">
        <v>932</v>
      </c>
      <c r="F511" s="315" t="str">
        <f>IF(IF(A511="","",COUNTIF(CONSOLIDADO!$A:$A,$A511))=0,"REVISAR","OK")</f>
        <v>OK</v>
      </c>
    </row>
    <row r="512" spans="1:6" ht="11.45" customHeight="1" x14ac:dyDescent="0.2">
      <c r="A512" s="312" t="s">
        <v>803</v>
      </c>
      <c r="B512" s="313" t="s">
        <v>88</v>
      </c>
      <c r="C512" s="312" t="s">
        <v>15</v>
      </c>
      <c r="D512" s="314">
        <v>1659</v>
      </c>
      <c r="E512" s="313" t="s">
        <v>932</v>
      </c>
      <c r="F512" s="315" t="str">
        <f>IF(IF(A512="","",COUNTIF(CONSOLIDADO!$A:$A,$A512))=0,"REVISAR","OK")</f>
        <v>OK</v>
      </c>
    </row>
    <row r="513" spans="1:6" ht="11.45" customHeight="1" x14ac:dyDescent="0.2">
      <c r="A513" s="312" t="s">
        <v>803</v>
      </c>
      <c r="B513" s="313" t="s">
        <v>88</v>
      </c>
      <c r="C513" s="312" t="s">
        <v>15</v>
      </c>
      <c r="D513" s="314">
        <v>1668</v>
      </c>
      <c r="E513" s="313" t="s">
        <v>2070</v>
      </c>
      <c r="F513" s="315" t="str">
        <f>IF(IF(A513="","",COUNTIF(CONSOLIDADO!$A:$A,$A513))=0,"REVISAR","OK")</f>
        <v>OK</v>
      </c>
    </row>
    <row r="514" spans="1:6" ht="11.45" customHeight="1" x14ac:dyDescent="0.2">
      <c r="A514" s="312" t="s">
        <v>803</v>
      </c>
      <c r="B514" s="313" t="s">
        <v>88</v>
      </c>
      <c r="C514" s="312" t="s">
        <v>15</v>
      </c>
      <c r="D514" s="314">
        <v>1668</v>
      </c>
      <c r="E514" s="313" t="s">
        <v>2238</v>
      </c>
      <c r="F514" s="315" t="str">
        <f>IF(IF(A514="","",COUNTIF(CONSOLIDADO!$A:$A,$A514))=0,"REVISAR","OK")</f>
        <v>OK</v>
      </c>
    </row>
    <row r="515" spans="1:6" ht="11.45" customHeight="1" x14ac:dyDescent="0.2">
      <c r="A515" s="312" t="s">
        <v>803</v>
      </c>
      <c r="B515" s="313" t="s">
        <v>88</v>
      </c>
      <c r="C515" s="312" t="s">
        <v>15</v>
      </c>
      <c r="D515" s="314">
        <v>1668</v>
      </c>
      <c r="E515" s="313" t="s">
        <v>2238</v>
      </c>
      <c r="F515" s="315" t="str">
        <f>IF(IF(A515="","",COUNTIF(CONSOLIDADO!$A:$A,$A515))=0,"REVISAR","OK")</f>
        <v>OK</v>
      </c>
    </row>
    <row r="516" spans="1:6" ht="11.45" customHeight="1" x14ac:dyDescent="0.2">
      <c r="A516" s="312" t="s">
        <v>803</v>
      </c>
      <c r="B516" s="313" t="s">
        <v>88</v>
      </c>
      <c r="C516" s="312" t="s">
        <v>15</v>
      </c>
      <c r="D516" s="314">
        <v>1669</v>
      </c>
      <c r="E516" s="313" t="s">
        <v>931</v>
      </c>
      <c r="F516" s="315" t="str">
        <f>IF(IF(A516="","",COUNTIF(CONSOLIDADO!$A:$A,$A516))=0,"REVISAR","OK")</f>
        <v>OK</v>
      </c>
    </row>
    <row r="517" spans="1:6" ht="11.45" customHeight="1" x14ac:dyDescent="0.2">
      <c r="A517" s="312" t="s">
        <v>803</v>
      </c>
      <c r="B517" s="313" t="s">
        <v>88</v>
      </c>
      <c r="C517" s="312" t="s">
        <v>15</v>
      </c>
      <c r="D517" s="314">
        <v>1669</v>
      </c>
      <c r="E517" s="313" t="s">
        <v>950</v>
      </c>
      <c r="F517" s="315" t="str">
        <f>IF(IF(A517="","",COUNTIF(CONSOLIDADO!$A:$A,$A517))=0,"REVISAR","OK")</f>
        <v>OK</v>
      </c>
    </row>
    <row r="518" spans="1:6" ht="11.45" customHeight="1" x14ac:dyDescent="0.2">
      <c r="A518" s="312" t="s">
        <v>803</v>
      </c>
      <c r="B518" s="313" t="s">
        <v>88</v>
      </c>
      <c r="C518" s="312" t="s">
        <v>15</v>
      </c>
      <c r="D518" s="314">
        <v>1700</v>
      </c>
      <c r="E518" s="313" t="s">
        <v>938</v>
      </c>
      <c r="F518" s="315" t="str">
        <f>IF(IF(A518="","",COUNTIF(CONSOLIDADO!$A:$A,$A518))=0,"REVISAR","OK")</f>
        <v>OK</v>
      </c>
    </row>
    <row r="519" spans="1:6" ht="11.45" customHeight="1" x14ac:dyDescent="0.2">
      <c r="A519" s="312" t="s">
        <v>803</v>
      </c>
      <c r="B519" s="313" t="s">
        <v>88</v>
      </c>
      <c r="C519" s="312" t="s">
        <v>15</v>
      </c>
      <c r="D519" s="314">
        <v>1700</v>
      </c>
      <c r="E519" s="313" t="s">
        <v>929</v>
      </c>
      <c r="F519" s="315" t="str">
        <f>IF(IF(A519="","",COUNTIF(CONSOLIDADO!$A:$A,$A519))=0,"REVISAR","OK")</f>
        <v>OK</v>
      </c>
    </row>
    <row r="520" spans="1:6" ht="11.45" customHeight="1" x14ac:dyDescent="0.2">
      <c r="A520" s="312" t="s">
        <v>803</v>
      </c>
      <c r="B520" s="313" t="s">
        <v>88</v>
      </c>
      <c r="C520" s="312" t="s">
        <v>15</v>
      </c>
      <c r="D520" s="314">
        <v>1700</v>
      </c>
      <c r="E520" s="313" t="s">
        <v>935</v>
      </c>
      <c r="F520" s="315" t="str">
        <f>IF(IF(A520="","",COUNTIF(CONSOLIDADO!$A:$A,$A520))=0,"REVISAR","OK")</f>
        <v>OK</v>
      </c>
    </row>
    <row r="521" spans="1:6" ht="11.45" customHeight="1" x14ac:dyDescent="0.2">
      <c r="A521" s="312" t="s">
        <v>803</v>
      </c>
      <c r="B521" s="313" t="s">
        <v>88</v>
      </c>
      <c r="C521" s="312" t="s">
        <v>15</v>
      </c>
      <c r="D521" s="314">
        <v>1709</v>
      </c>
      <c r="E521" s="313" t="s">
        <v>948</v>
      </c>
      <c r="F521" s="315" t="str">
        <f>IF(IF(A521="","",COUNTIF(CONSOLIDADO!$A:$A,$A521))=0,"REVISAR","OK")</f>
        <v>OK</v>
      </c>
    </row>
    <row r="522" spans="1:6" ht="11.45" customHeight="1" x14ac:dyDescent="0.2">
      <c r="A522" s="312" t="s">
        <v>803</v>
      </c>
      <c r="B522" s="313" t="s">
        <v>88</v>
      </c>
      <c r="C522" s="312" t="s">
        <v>15</v>
      </c>
      <c r="D522" s="314">
        <v>1725</v>
      </c>
      <c r="E522" s="313" t="s">
        <v>999</v>
      </c>
      <c r="F522" s="315" t="str">
        <f>IF(IF(A522="","",COUNTIF(CONSOLIDADO!$A:$A,$A522))=0,"REVISAR","OK")</f>
        <v>OK</v>
      </c>
    </row>
    <row r="523" spans="1:6" ht="11.45" customHeight="1" x14ac:dyDescent="0.2">
      <c r="A523" s="312" t="s">
        <v>803</v>
      </c>
      <c r="B523" s="313" t="s">
        <v>88</v>
      </c>
      <c r="C523" s="312" t="s">
        <v>15</v>
      </c>
      <c r="D523" s="314">
        <v>1750</v>
      </c>
      <c r="E523" s="313" t="s">
        <v>948</v>
      </c>
      <c r="F523" s="315" t="str">
        <f>IF(IF(A523="","",COUNTIF(CONSOLIDADO!$A:$A,$A523))=0,"REVISAR","OK")</f>
        <v>OK</v>
      </c>
    </row>
    <row r="524" spans="1:6" ht="11.45" customHeight="1" x14ac:dyDescent="0.2">
      <c r="A524" s="312" t="s">
        <v>803</v>
      </c>
      <c r="B524" s="313" t="s">
        <v>88</v>
      </c>
      <c r="C524" s="312" t="s">
        <v>15</v>
      </c>
      <c r="D524" s="314">
        <v>1789</v>
      </c>
      <c r="E524" s="313" t="s">
        <v>943</v>
      </c>
      <c r="F524" s="315" t="str">
        <f>IF(IF(A524="","",COUNTIF(CONSOLIDADO!$A:$A,$A524))=0,"REVISAR","OK")</f>
        <v>OK</v>
      </c>
    </row>
    <row r="525" spans="1:6" ht="11.45" customHeight="1" x14ac:dyDescent="0.2">
      <c r="A525" s="312" t="s">
        <v>803</v>
      </c>
      <c r="B525" s="313" t="s">
        <v>88</v>
      </c>
      <c r="C525" s="312" t="s">
        <v>15</v>
      </c>
      <c r="D525" s="314">
        <v>1789</v>
      </c>
      <c r="E525" s="313" t="s">
        <v>934</v>
      </c>
      <c r="F525" s="315" t="str">
        <f>IF(IF(A525="","",COUNTIF(CONSOLIDADO!$A:$A,$A525))=0,"REVISAR","OK")</f>
        <v>OK</v>
      </c>
    </row>
    <row r="526" spans="1:6" ht="11.45" customHeight="1" x14ac:dyDescent="0.2">
      <c r="A526" s="312" t="s">
        <v>803</v>
      </c>
      <c r="B526" s="313" t="s">
        <v>88</v>
      </c>
      <c r="C526" s="312" t="s">
        <v>15</v>
      </c>
      <c r="D526" s="314">
        <v>1796</v>
      </c>
      <c r="E526" s="313" t="s">
        <v>937</v>
      </c>
      <c r="F526" s="315" t="str">
        <f>IF(IF(A526="","",COUNTIF(CONSOLIDADO!$A:$A,$A526))=0,"REVISAR","OK")</f>
        <v>OK</v>
      </c>
    </row>
    <row r="527" spans="1:6" ht="11.45" customHeight="1" x14ac:dyDescent="0.2">
      <c r="A527" s="312" t="s">
        <v>803</v>
      </c>
      <c r="B527" s="313" t="s">
        <v>88</v>
      </c>
      <c r="C527" s="312" t="s">
        <v>15</v>
      </c>
      <c r="D527" s="314">
        <v>1800</v>
      </c>
      <c r="E527" s="313" t="s">
        <v>933</v>
      </c>
      <c r="F527" s="315" t="str">
        <f>IF(IF(A527="","",COUNTIF(CONSOLIDADO!$A:$A,$A527))=0,"REVISAR","OK")</f>
        <v>OK</v>
      </c>
    </row>
    <row r="528" spans="1:6" ht="11.45" customHeight="1" x14ac:dyDescent="0.2">
      <c r="A528" s="312" t="s">
        <v>803</v>
      </c>
      <c r="B528" s="313" t="s">
        <v>88</v>
      </c>
      <c r="C528" s="312" t="s">
        <v>15</v>
      </c>
      <c r="D528" s="314">
        <v>1800</v>
      </c>
      <c r="E528" s="313" t="s">
        <v>2210</v>
      </c>
      <c r="F528" s="315" t="str">
        <f>IF(IF(A528="","",COUNTIF(CONSOLIDADO!$A:$A,$A528))=0,"REVISAR","OK")</f>
        <v>OK</v>
      </c>
    </row>
    <row r="529" spans="1:6" ht="11.45" customHeight="1" x14ac:dyDescent="0.2">
      <c r="A529" s="312" t="s">
        <v>803</v>
      </c>
      <c r="B529" s="313" t="s">
        <v>88</v>
      </c>
      <c r="C529" s="312" t="s">
        <v>15</v>
      </c>
      <c r="D529" s="314">
        <v>1800</v>
      </c>
      <c r="E529" s="313" t="s">
        <v>2146</v>
      </c>
      <c r="F529" s="315" t="str">
        <f>IF(IF(A529="","",COUNTIF(CONSOLIDADO!$A:$A,$A529))=0,"REVISAR","OK")</f>
        <v>OK</v>
      </c>
    </row>
    <row r="530" spans="1:6" ht="11.45" customHeight="1" x14ac:dyDescent="0.2">
      <c r="A530" s="312" t="s">
        <v>803</v>
      </c>
      <c r="B530" s="313" t="s">
        <v>88</v>
      </c>
      <c r="C530" s="312" t="s">
        <v>15</v>
      </c>
      <c r="D530" s="314">
        <v>1850</v>
      </c>
      <c r="E530" s="313" t="s">
        <v>2210</v>
      </c>
      <c r="F530" s="315" t="str">
        <f>IF(IF(A530="","",COUNTIF(CONSOLIDADO!$A:$A,$A530))=0,"REVISAR","OK")</f>
        <v>OK</v>
      </c>
    </row>
    <row r="531" spans="1:6" ht="11.45" customHeight="1" x14ac:dyDescent="0.2">
      <c r="A531" s="312" t="s">
        <v>803</v>
      </c>
      <c r="B531" s="313" t="s">
        <v>88</v>
      </c>
      <c r="C531" s="312" t="s">
        <v>15</v>
      </c>
      <c r="D531" s="314">
        <v>1850</v>
      </c>
      <c r="E531" s="313" t="s">
        <v>945</v>
      </c>
      <c r="F531" s="315" t="str">
        <f>IF(IF(A531="","",COUNTIF(CONSOLIDADO!$A:$A,$A531))=0,"REVISAR","OK")</f>
        <v>OK</v>
      </c>
    </row>
    <row r="532" spans="1:6" ht="11.45" customHeight="1" x14ac:dyDescent="0.2">
      <c r="A532" s="312" t="s">
        <v>803</v>
      </c>
      <c r="B532" s="313" t="s">
        <v>88</v>
      </c>
      <c r="C532" s="312" t="s">
        <v>15</v>
      </c>
      <c r="D532" s="314">
        <v>1890</v>
      </c>
      <c r="E532" s="313" t="s">
        <v>2276</v>
      </c>
      <c r="F532" s="315" t="str">
        <f>IF(IF(A532="","",COUNTIF(CONSOLIDADO!$A:$A,$A532))=0,"REVISAR","OK")</f>
        <v>OK</v>
      </c>
    </row>
    <row r="533" spans="1:6" ht="11.45" customHeight="1" x14ac:dyDescent="0.2">
      <c r="A533" s="312" t="s">
        <v>803</v>
      </c>
      <c r="B533" s="313" t="s">
        <v>88</v>
      </c>
      <c r="C533" s="312" t="s">
        <v>15</v>
      </c>
      <c r="D533" s="314">
        <v>1899</v>
      </c>
      <c r="E533" s="313" t="s">
        <v>2297</v>
      </c>
      <c r="F533" s="315" t="str">
        <f>IF(IF(A533="","",COUNTIF(CONSOLIDADO!$A:$A,$A533))=0,"REVISAR","OK")</f>
        <v>OK</v>
      </c>
    </row>
    <row r="534" spans="1:6" ht="11.45" customHeight="1" x14ac:dyDescent="0.2">
      <c r="A534" s="312" t="s">
        <v>803</v>
      </c>
      <c r="B534" s="313" t="s">
        <v>88</v>
      </c>
      <c r="C534" s="312" t="s">
        <v>15</v>
      </c>
      <c r="D534" s="314">
        <v>1992</v>
      </c>
      <c r="E534" s="313" t="s">
        <v>936</v>
      </c>
      <c r="F534" s="315" t="str">
        <f>IF(IF(A534="","",COUNTIF(CONSOLIDADO!$A:$A,$A534))=0,"REVISAR","OK")</f>
        <v>OK</v>
      </c>
    </row>
    <row r="535" spans="1:6" ht="11.45" customHeight="1" x14ac:dyDescent="0.2">
      <c r="A535" s="312" t="s">
        <v>803</v>
      </c>
      <c r="B535" s="313" t="s">
        <v>88</v>
      </c>
      <c r="C535" s="312" t="s">
        <v>15</v>
      </c>
      <c r="D535" s="314">
        <v>2000</v>
      </c>
      <c r="E535" s="313" t="s">
        <v>938</v>
      </c>
      <c r="F535" s="315" t="str">
        <f>IF(IF(A535="","",COUNTIF(CONSOLIDADO!$A:$A,$A535))=0,"REVISAR","OK")</f>
        <v>OK</v>
      </c>
    </row>
    <row r="536" spans="1:6" ht="11.45" customHeight="1" x14ac:dyDescent="0.2">
      <c r="A536" s="312" t="s">
        <v>803</v>
      </c>
      <c r="B536" s="313" t="s">
        <v>88</v>
      </c>
      <c r="C536" s="312" t="s">
        <v>15</v>
      </c>
      <c r="D536" s="314">
        <v>2000</v>
      </c>
      <c r="E536" s="313" t="s">
        <v>2210</v>
      </c>
      <c r="F536" s="315" t="str">
        <f>IF(IF(A536="","",COUNTIF(CONSOLIDADO!$A:$A,$A536))=0,"REVISAR","OK")</f>
        <v>OK</v>
      </c>
    </row>
    <row r="537" spans="1:6" ht="11.45" customHeight="1" x14ac:dyDescent="0.2">
      <c r="A537" s="312" t="s">
        <v>803</v>
      </c>
      <c r="B537" s="313" t="s">
        <v>88</v>
      </c>
      <c r="C537" s="312" t="s">
        <v>15</v>
      </c>
      <c r="D537" s="314">
        <v>2000</v>
      </c>
      <c r="E537" s="313" t="s">
        <v>2211</v>
      </c>
      <c r="F537" s="315" t="str">
        <f>IF(IF(A537="","",COUNTIF(CONSOLIDADO!$A:$A,$A537))=0,"REVISAR","OK")</f>
        <v>OK</v>
      </c>
    </row>
    <row r="538" spans="1:6" ht="11.45" customHeight="1" x14ac:dyDescent="0.2">
      <c r="A538" s="312" t="s">
        <v>803</v>
      </c>
      <c r="B538" s="313" t="s">
        <v>88</v>
      </c>
      <c r="C538" s="312" t="s">
        <v>15</v>
      </c>
      <c r="D538" s="314">
        <v>2051</v>
      </c>
      <c r="E538" s="313" t="s">
        <v>930</v>
      </c>
      <c r="F538" s="315" t="str">
        <f>IF(IF(A538="","",COUNTIF(CONSOLIDADO!$A:$A,$A538))=0,"REVISAR","OK")</f>
        <v>OK</v>
      </c>
    </row>
    <row r="539" spans="1:6" ht="11.45" customHeight="1" x14ac:dyDescent="0.2">
      <c r="A539" s="312" t="s">
        <v>803</v>
      </c>
      <c r="B539" s="313" t="s">
        <v>88</v>
      </c>
      <c r="C539" s="312" t="s">
        <v>15</v>
      </c>
      <c r="D539" s="314">
        <v>2089</v>
      </c>
      <c r="E539" s="313" t="s">
        <v>951</v>
      </c>
      <c r="F539" s="315" t="str">
        <f>IF(IF(A539="","",COUNTIF(CONSOLIDADO!$A:$A,$A539))=0,"REVISAR","OK")</f>
        <v>OK</v>
      </c>
    </row>
    <row r="540" spans="1:6" ht="11.45" customHeight="1" x14ac:dyDescent="0.2">
      <c r="A540" s="312" t="s">
        <v>805</v>
      </c>
      <c r="B540" s="313" t="s">
        <v>1005</v>
      </c>
      <c r="C540" s="312" t="s">
        <v>15</v>
      </c>
      <c r="D540" s="314">
        <v>2261</v>
      </c>
      <c r="E540" s="313" t="s">
        <v>931</v>
      </c>
      <c r="F540" s="315" t="str">
        <f>IF(IF(A540="","",COUNTIF(CONSOLIDADO!$A:$A,$A540))=0,"REVISAR","OK")</f>
        <v>OK</v>
      </c>
    </row>
    <row r="541" spans="1:6" ht="11.45" customHeight="1" x14ac:dyDescent="0.2">
      <c r="A541" s="312" t="s">
        <v>805</v>
      </c>
      <c r="B541" s="313" t="s">
        <v>1005</v>
      </c>
      <c r="C541" s="312" t="s">
        <v>15</v>
      </c>
      <c r="D541" s="314">
        <v>2390</v>
      </c>
      <c r="E541" s="313" t="s">
        <v>943</v>
      </c>
      <c r="F541" s="315" t="str">
        <f>IF(IF(A541="","",COUNTIF(CONSOLIDADO!$A:$A,$A541))=0,"REVISAR","OK")</f>
        <v>OK</v>
      </c>
    </row>
    <row r="542" spans="1:6" ht="11.45" customHeight="1" x14ac:dyDescent="0.2">
      <c r="A542" s="312" t="s">
        <v>805</v>
      </c>
      <c r="B542" s="313" t="s">
        <v>1005</v>
      </c>
      <c r="C542" s="312" t="s">
        <v>15</v>
      </c>
      <c r="D542" s="314">
        <v>2450</v>
      </c>
      <c r="E542" s="313" t="s">
        <v>943</v>
      </c>
      <c r="F542" s="315" t="str">
        <f>IF(IF(A542="","",COUNTIF(CONSOLIDADO!$A:$A,$A542))=0,"REVISAR","OK")</f>
        <v>OK</v>
      </c>
    </row>
    <row r="543" spans="1:6" ht="11.45" customHeight="1" x14ac:dyDescent="0.2">
      <c r="A543" s="312" t="s">
        <v>805</v>
      </c>
      <c r="B543" s="313" t="s">
        <v>1005</v>
      </c>
      <c r="C543" s="312" t="s">
        <v>15</v>
      </c>
      <c r="D543" s="314">
        <v>2650</v>
      </c>
      <c r="E543" s="313" t="s">
        <v>930</v>
      </c>
      <c r="F543" s="315" t="str">
        <f>IF(IF(A543="","",COUNTIF(CONSOLIDADO!$A:$A,$A543))=0,"REVISAR","OK")</f>
        <v>OK</v>
      </c>
    </row>
    <row r="544" spans="1:6" ht="11.45" customHeight="1" x14ac:dyDescent="0.2">
      <c r="A544" s="312" t="s">
        <v>805</v>
      </c>
      <c r="B544" s="313" t="s">
        <v>1005</v>
      </c>
      <c r="C544" s="312" t="s">
        <v>15</v>
      </c>
      <c r="D544" s="314">
        <v>2737</v>
      </c>
      <c r="E544" s="313" t="s">
        <v>929</v>
      </c>
      <c r="F544" s="315" t="str">
        <f>IF(IF(A544="","",COUNTIF(CONSOLIDADO!$A:$A,$A544))=0,"REVISAR","OK")</f>
        <v>OK</v>
      </c>
    </row>
    <row r="545" spans="1:6" ht="11.45" customHeight="1" x14ac:dyDescent="0.2">
      <c r="A545" s="312" t="s">
        <v>805</v>
      </c>
      <c r="B545" s="313" t="s">
        <v>1005</v>
      </c>
      <c r="C545" s="312" t="s">
        <v>15</v>
      </c>
      <c r="D545" s="314">
        <v>2799</v>
      </c>
      <c r="E545" s="313" t="s">
        <v>937</v>
      </c>
      <c r="F545" s="315" t="str">
        <f>IF(IF(A545="","",COUNTIF(CONSOLIDADO!$A:$A,$A545))=0,"REVISAR","OK")</f>
        <v>OK</v>
      </c>
    </row>
    <row r="546" spans="1:6" ht="11.45" customHeight="1" x14ac:dyDescent="0.2">
      <c r="A546" s="312" t="s">
        <v>805</v>
      </c>
      <c r="B546" s="313" t="s">
        <v>1005</v>
      </c>
      <c r="C546" s="312" t="s">
        <v>15</v>
      </c>
      <c r="D546" s="314">
        <v>2823</v>
      </c>
      <c r="E546" s="313" t="s">
        <v>934</v>
      </c>
      <c r="F546" s="315" t="str">
        <f>IF(IF(A546="","",COUNTIF(CONSOLIDADO!$A:$A,$A546))=0,"REVISAR","OK")</f>
        <v>OK</v>
      </c>
    </row>
    <row r="547" spans="1:6" ht="11.45" customHeight="1" x14ac:dyDescent="0.2">
      <c r="A547" s="312" t="s">
        <v>805</v>
      </c>
      <c r="B547" s="313" t="s">
        <v>1005</v>
      </c>
      <c r="C547" s="312" t="s">
        <v>15</v>
      </c>
      <c r="D547" s="314">
        <v>3320</v>
      </c>
      <c r="E547" s="313" t="s">
        <v>930</v>
      </c>
      <c r="F547" s="315" t="str">
        <f>IF(IF(A547="","",COUNTIF(CONSOLIDADO!$A:$A,$A547))=0,"REVISAR","OK")</f>
        <v>OK</v>
      </c>
    </row>
    <row r="548" spans="1:6" ht="11.45" customHeight="1" x14ac:dyDescent="0.2">
      <c r="A548" s="312" t="s">
        <v>805</v>
      </c>
      <c r="B548" s="313" t="s">
        <v>1005</v>
      </c>
      <c r="C548" s="312" t="s">
        <v>15</v>
      </c>
      <c r="D548" s="314">
        <v>3896</v>
      </c>
      <c r="E548" s="313" t="s">
        <v>935</v>
      </c>
      <c r="F548" s="315" t="str">
        <f>IF(IF(A548="","",COUNTIF(CONSOLIDADO!$A:$A,$A548))=0,"REVISAR","OK")</f>
        <v>OK</v>
      </c>
    </row>
    <row r="549" spans="1:6" ht="11.45" customHeight="1" x14ac:dyDescent="0.2">
      <c r="A549" s="312" t="s">
        <v>805</v>
      </c>
      <c r="B549" s="313" t="s">
        <v>1005</v>
      </c>
      <c r="C549" s="312" t="s">
        <v>15</v>
      </c>
      <c r="D549" s="314">
        <v>4284</v>
      </c>
      <c r="E549" s="313" t="s">
        <v>939</v>
      </c>
      <c r="F549" s="315" t="str">
        <f>IF(IF(A549="","",COUNTIF(CONSOLIDADO!$A:$A,$A549))=0,"REVISAR","OK")</f>
        <v>OK</v>
      </c>
    </row>
    <row r="550" spans="1:6" ht="11.45" customHeight="1" x14ac:dyDescent="0.2">
      <c r="A550" s="312" t="s">
        <v>805</v>
      </c>
      <c r="B550" s="313" t="s">
        <v>1005</v>
      </c>
      <c r="C550" s="312" t="s">
        <v>15</v>
      </c>
      <c r="D550" s="314">
        <v>4855</v>
      </c>
      <c r="E550" s="313" t="s">
        <v>2146</v>
      </c>
      <c r="F550" s="315" t="str">
        <f>IF(IF(A550="","",COUNTIF(CONSOLIDADO!$A:$A,$A550))=0,"REVISAR","OK")</f>
        <v>OK</v>
      </c>
    </row>
    <row r="551" spans="1:6" ht="11.45" customHeight="1" x14ac:dyDescent="0.2">
      <c r="A551" s="312" t="s">
        <v>805</v>
      </c>
      <c r="B551" s="313" t="s">
        <v>1005</v>
      </c>
      <c r="C551" s="312" t="s">
        <v>15</v>
      </c>
      <c r="D551" s="314">
        <v>7140</v>
      </c>
      <c r="E551" s="313" t="s">
        <v>935</v>
      </c>
      <c r="F551" s="315" t="str">
        <f>IF(IF(A551="","",COUNTIF(CONSOLIDADO!$A:$A,$A551))=0,"REVISAR","OK")</f>
        <v>OK</v>
      </c>
    </row>
    <row r="552" spans="1:6" ht="11.45" customHeight="1" x14ac:dyDescent="0.2">
      <c r="A552" s="312" t="s">
        <v>1332</v>
      </c>
      <c r="B552" s="313" t="s">
        <v>1333</v>
      </c>
      <c r="C552" s="312" t="s">
        <v>956</v>
      </c>
      <c r="D552" s="314">
        <v>4046</v>
      </c>
      <c r="E552" s="313" t="s">
        <v>982</v>
      </c>
      <c r="F552" s="315" t="str">
        <f>IF(IF(A552="","",COUNTIF(CONSOLIDADO!$A:$A,$A552))=0,"REVISAR","OK")</f>
        <v>OK</v>
      </c>
    </row>
    <row r="553" spans="1:6" ht="11.45" customHeight="1" x14ac:dyDescent="0.2">
      <c r="A553" s="312" t="s">
        <v>2006</v>
      </c>
      <c r="B553" s="313" t="s">
        <v>2007</v>
      </c>
      <c r="C553" s="312" t="s">
        <v>15</v>
      </c>
      <c r="D553" s="314">
        <v>1780</v>
      </c>
      <c r="E553" s="313" t="s">
        <v>944</v>
      </c>
      <c r="F553" s="315" t="str">
        <f>IF(IF(A553="","",COUNTIF(CONSOLIDADO!$A:$A,$A553))=0,"REVISAR","OK")</f>
        <v>OK</v>
      </c>
    </row>
    <row r="554" spans="1:6" ht="11.45" customHeight="1" x14ac:dyDescent="0.2">
      <c r="A554" s="312" t="s">
        <v>2006</v>
      </c>
      <c r="B554" s="313" t="s">
        <v>2007</v>
      </c>
      <c r="C554" s="312" t="s">
        <v>15</v>
      </c>
      <c r="D554" s="314">
        <v>1930</v>
      </c>
      <c r="E554" s="313" t="s">
        <v>944</v>
      </c>
      <c r="F554" s="315" t="str">
        <f>IF(IF(A554="","",COUNTIF(CONSOLIDADO!$A:$A,$A554))=0,"REVISAR","OK")</f>
        <v>OK</v>
      </c>
    </row>
    <row r="555" spans="1:6" ht="11.45" customHeight="1" x14ac:dyDescent="0.2">
      <c r="A555" s="312" t="s">
        <v>1008</v>
      </c>
      <c r="B555" s="313" t="s">
        <v>1009</v>
      </c>
      <c r="C555" s="312" t="s">
        <v>1007</v>
      </c>
      <c r="D555" s="314">
        <v>2975</v>
      </c>
      <c r="E555" s="313" t="s">
        <v>982</v>
      </c>
      <c r="F555" s="315" t="str">
        <f>IF(IF(A555="","",COUNTIF(CONSOLIDADO!$A:$A,$A555))=0,"REVISAR","OK")</f>
        <v>OK</v>
      </c>
    </row>
    <row r="556" spans="1:6" ht="11.45" customHeight="1" x14ac:dyDescent="0.2">
      <c r="A556" s="312" t="s">
        <v>822</v>
      </c>
      <c r="B556" s="313" t="s">
        <v>25</v>
      </c>
      <c r="C556" s="312" t="s">
        <v>15</v>
      </c>
      <c r="D556" s="314">
        <v>1450</v>
      </c>
      <c r="E556" s="313" t="s">
        <v>2073</v>
      </c>
      <c r="F556" s="315" t="str">
        <f>IF(IF(A556="","",COUNTIF(CONSOLIDADO!$A:$A,$A556))=0,"REVISAR","OK")</f>
        <v>OK</v>
      </c>
    </row>
    <row r="557" spans="1:6" ht="11.45" customHeight="1" x14ac:dyDescent="0.2">
      <c r="A557" s="312" t="s">
        <v>822</v>
      </c>
      <c r="B557" s="313" t="s">
        <v>25</v>
      </c>
      <c r="C557" s="312" t="s">
        <v>15</v>
      </c>
      <c r="D557" s="314">
        <v>1547</v>
      </c>
      <c r="E557" s="313" t="s">
        <v>940</v>
      </c>
      <c r="F557" s="315" t="str">
        <f>IF(IF(A557="","",COUNTIF(CONSOLIDADO!$A:$A,$A557))=0,"REVISAR","OK")</f>
        <v>OK</v>
      </c>
    </row>
    <row r="558" spans="1:6" ht="11.45" customHeight="1" x14ac:dyDescent="0.2">
      <c r="A558" s="312" t="s">
        <v>822</v>
      </c>
      <c r="B558" s="313" t="s">
        <v>25</v>
      </c>
      <c r="C558" s="312" t="s">
        <v>15</v>
      </c>
      <c r="D558" s="314">
        <v>1547</v>
      </c>
      <c r="E558" s="313" t="s">
        <v>946</v>
      </c>
      <c r="F558" s="315" t="str">
        <f>IF(IF(A558="","",COUNTIF(CONSOLIDADO!$A:$A,$A558))=0,"REVISAR","OK")</f>
        <v>OK</v>
      </c>
    </row>
    <row r="559" spans="1:6" ht="11.45" customHeight="1" x14ac:dyDescent="0.2">
      <c r="A559" s="312" t="s">
        <v>822</v>
      </c>
      <c r="B559" s="313" t="s">
        <v>25</v>
      </c>
      <c r="C559" s="312" t="s">
        <v>15</v>
      </c>
      <c r="D559" s="314">
        <v>1666</v>
      </c>
      <c r="E559" s="313" t="s">
        <v>929</v>
      </c>
      <c r="F559" s="315" t="str">
        <f>IF(IF(A559="","",COUNTIF(CONSOLIDADO!$A:$A,$A559))=0,"REVISAR","OK")</f>
        <v>OK</v>
      </c>
    </row>
    <row r="560" spans="1:6" ht="11.45" customHeight="1" x14ac:dyDescent="0.2">
      <c r="A560" s="312" t="s">
        <v>822</v>
      </c>
      <c r="B560" s="313" t="s">
        <v>25</v>
      </c>
      <c r="C560" s="312" t="s">
        <v>15</v>
      </c>
      <c r="D560" s="314">
        <v>1666</v>
      </c>
      <c r="E560" s="313" t="s">
        <v>2005</v>
      </c>
      <c r="F560" s="315" t="str">
        <f>IF(IF(A560="","",COUNTIF(CONSOLIDADO!$A:$A,$A560))=0,"REVISAR","OK")</f>
        <v>OK</v>
      </c>
    </row>
    <row r="561" spans="1:6" ht="11.45" customHeight="1" x14ac:dyDescent="0.2">
      <c r="A561" s="312" t="s">
        <v>822</v>
      </c>
      <c r="B561" s="313" t="s">
        <v>25</v>
      </c>
      <c r="C561" s="312" t="s">
        <v>15</v>
      </c>
      <c r="D561" s="314">
        <v>1988</v>
      </c>
      <c r="E561" s="313" t="s">
        <v>949</v>
      </c>
      <c r="F561" s="315" t="str">
        <f>IF(IF(A561="","",COUNTIF(CONSOLIDADO!$A:$A,$A561))=0,"REVISAR","OK")</f>
        <v>OK</v>
      </c>
    </row>
    <row r="562" spans="1:6" ht="11.45" customHeight="1" x14ac:dyDescent="0.2">
      <c r="A562" s="312" t="s">
        <v>822</v>
      </c>
      <c r="B562" s="313" t="s">
        <v>25</v>
      </c>
      <c r="C562" s="312" t="s">
        <v>15</v>
      </c>
      <c r="D562" s="314">
        <v>1990</v>
      </c>
      <c r="E562" s="313" t="s">
        <v>930</v>
      </c>
      <c r="F562" s="315" t="str">
        <f>IF(IF(A562="","",COUNTIF(CONSOLIDADO!$A:$A,$A562))=0,"REVISAR","OK")</f>
        <v>OK</v>
      </c>
    </row>
    <row r="563" spans="1:6" ht="11.45" customHeight="1" x14ac:dyDescent="0.2">
      <c r="A563" s="312" t="s">
        <v>822</v>
      </c>
      <c r="B563" s="313" t="s">
        <v>25</v>
      </c>
      <c r="C563" s="312" t="s">
        <v>15</v>
      </c>
      <c r="D563" s="314">
        <v>2084</v>
      </c>
      <c r="E563" s="313" t="s">
        <v>935</v>
      </c>
      <c r="F563" s="315" t="str">
        <f>IF(IF(A563="","",COUNTIF(CONSOLIDADO!$A:$A,$A563))=0,"REVISAR","OK")</f>
        <v>OK</v>
      </c>
    </row>
    <row r="564" spans="1:6" ht="11.45" customHeight="1" x14ac:dyDescent="0.2">
      <c r="A564" s="312" t="s">
        <v>822</v>
      </c>
      <c r="B564" s="313" t="s">
        <v>25</v>
      </c>
      <c r="C564" s="312" t="s">
        <v>15</v>
      </c>
      <c r="D564" s="314">
        <v>2142</v>
      </c>
      <c r="E564" s="313" t="s">
        <v>931</v>
      </c>
      <c r="F564" s="315" t="str">
        <f>IF(IF(A564="","",COUNTIF(CONSOLIDADO!$A:$A,$A564))=0,"REVISAR","OK")</f>
        <v>OK</v>
      </c>
    </row>
    <row r="565" spans="1:6" ht="11.45" customHeight="1" x14ac:dyDescent="0.2">
      <c r="A565" s="312" t="s">
        <v>822</v>
      </c>
      <c r="B565" s="313" t="s">
        <v>25</v>
      </c>
      <c r="C565" s="312" t="s">
        <v>15</v>
      </c>
      <c r="D565" s="314">
        <v>2380</v>
      </c>
      <c r="E565" s="313" t="s">
        <v>2238</v>
      </c>
      <c r="F565" s="315" t="str">
        <f>IF(IF(A565="","",COUNTIF(CONSOLIDADO!$A:$A,$A565))=0,"REVISAR","OK")</f>
        <v>OK</v>
      </c>
    </row>
    <row r="566" spans="1:6" ht="11.45" customHeight="1" x14ac:dyDescent="0.2">
      <c r="A566" s="312" t="s">
        <v>822</v>
      </c>
      <c r="B566" s="313" t="s">
        <v>25</v>
      </c>
      <c r="C566" s="312" t="s">
        <v>15</v>
      </c>
      <c r="D566" s="314">
        <v>3990</v>
      </c>
      <c r="E566" s="313" t="s">
        <v>2232</v>
      </c>
      <c r="F566" s="315" t="str">
        <f>IF(IF(A566="","",COUNTIF(CONSOLIDADO!$A:$A,$A566))=0,"REVISAR","OK")</f>
        <v>OK</v>
      </c>
    </row>
    <row r="567" spans="1:6" ht="11.45" customHeight="1" x14ac:dyDescent="0.2">
      <c r="A567" s="312" t="s">
        <v>822</v>
      </c>
      <c r="B567" s="313" t="s">
        <v>25</v>
      </c>
      <c r="C567" s="312" t="s">
        <v>15</v>
      </c>
      <c r="D567" s="314">
        <v>4000</v>
      </c>
      <c r="E567" s="313" t="s">
        <v>931</v>
      </c>
      <c r="F567" s="315" t="str">
        <f>IF(IF(A567="","",COUNTIF(CONSOLIDADO!$A:$A,$A567))=0,"REVISAR","OK")</f>
        <v>OK</v>
      </c>
    </row>
    <row r="568" spans="1:6" ht="11.45" customHeight="1" x14ac:dyDescent="0.2">
      <c r="A568" s="312" t="s">
        <v>822</v>
      </c>
      <c r="B568" s="313" t="s">
        <v>25</v>
      </c>
      <c r="C568" s="312" t="s">
        <v>15</v>
      </c>
      <c r="D568" s="314">
        <v>5900</v>
      </c>
      <c r="E568" s="313" t="s">
        <v>2232</v>
      </c>
      <c r="F568" s="315" t="str">
        <f>IF(IF(A568="","",COUNTIF(CONSOLIDADO!$A:$A,$A568))=0,"REVISAR","OK")</f>
        <v>OK</v>
      </c>
    </row>
    <row r="569" spans="1:6" ht="11.45" customHeight="1" x14ac:dyDescent="0.2">
      <c r="A569" s="312" t="s">
        <v>826</v>
      </c>
      <c r="B569" s="313" t="s">
        <v>153</v>
      </c>
      <c r="C569" s="312" t="s">
        <v>15</v>
      </c>
      <c r="D569" s="314">
        <v>892</v>
      </c>
      <c r="E569" s="313" t="s">
        <v>982</v>
      </c>
      <c r="F569" s="315" t="str">
        <f>IF(IF(A569="","",COUNTIF(CONSOLIDADO!$A:$A,$A569))=0,"REVISAR","OK")</f>
        <v>OK</v>
      </c>
    </row>
    <row r="570" spans="1:6" ht="11.45" customHeight="1" x14ac:dyDescent="0.2">
      <c r="A570" s="312" t="s">
        <v>826</v>
      </c>
      <c r="B570" s="313" t="s">
        <v>153</v>
      </c>
      <c r="C570" s="312" t="s">
        <v>15</v>
      </c>
      <c r="D570" s="314">
        <v>950</v>
      </c>
      <c r="E570" s="313" t="s">
        <v>974</v>
      </c>
      <c r="F570" s="315" t="str">
        <f>IF(IF(A570="","",COUNTIF(CONSOLIDADO!$A:$A,$A570))=0,"REVISAR","OK")</f>
        <v>OK</v>
      </c>
    </row>
    <row r="571" spans="1:6" ht="11.45" customHeight="1" x14ac:dyDescent="0.2">
      <c r="A571" s="312" t="s">
        <v>826</v>
      </c>
      <c r="B571" s="313" t="s">
        <v>153</v>
      </c>
      <c r="C571" s="312" t="s">
        <v>15</v>
      </c>
      <c r="D571" s="314">
        <v>1000</v>
      </c>
      <c r="E571" s="313" t="s">
        <v>938</v>
      </c>
      <c r="F571" s="315" t="str">
        <f>IF(IF(A571="","",COUNTIF(CONSOLIDADO!$A:$A,$A571))=0,"REVISAR","OK")</f>
        <v>OK</v>
      </c>
    </row>
    <row r="572" spans="1:6" ht="11.45" customHeight="1" x14ac:dyDescent="0.2">
      <c r="A572" s="312" t="s">
        <v>826</v>
      </c>
      <c r="B572" s="313" t="s">
        <v>153</v>
      </c>
      <c r="C572" s="312" t="s">
        <v>15</v>
      </c>
      <c r="D572" s="314">
        <v>1071</v>
      </c>
      <c r="E572" s="313" t="s">
        <v>2233</v>
      </c>
      <c r="F572" s="315" t="str">
        <f>IF(IF(A572="","",COUNTIF(CONSOLIDADO!$A:$A,$A572))=0,"REVISAR","OK")</f>
        <v>OK</v>
      </c>
    </row>
    <row r="573" spans="1:6" ht="11.45" customHeight="1" x14ac:dyDescent="0.2">
      <c r="A573" s="312" t="s">
        <v>826</v>
      </c>
      <c r="B573" s="313" t="s">
        <v>153</v>
      </c>
      <c r="C573" s="312" t="s">
        <v>15</v>
      </c>
      <c r="D573" s="314">
        <v>1190</v>
      </c>
      <c r="E573" s="313" t="s">
        <v>939</v>
      </c>
      <c r="F573" s="315" t="str">
        <f>IF(IF(A573="","",COUNTIF(CONSOLIDADO!$A:$A,$A573))=0,"REVISAR","OK")</f>
        <v>OK</v>
      </c>
    </row>
    <row r="574" spans="1:6" ht="11.45" customHeight="1" x14ac:dyDescent="0.2">
      <c r="A574" s="312" t="s">
        <v>826</v>
      </c>
      <c r="B574" s="313" t="s">
        <v>153</v>
      </c>
      <c r="C574" s="312" t="s">
        <v>15</v>
      </c>
      <c r="D574" s="314">
        <v>1199</v>
      </c>
      <c r="E574" s="313" t="s">
        <v>2329</v>
      </c>
      <c r="F574" s="315" t="str">
        <f>IF(IF(A574="","",COUNTIF(CONSOLIDADO!$A:$A,$A574))=0,"REVISAR","OK")</f>
        <v>OK</v>
      </c>
    </row>
    <row r="575" spans="1:6" ht="11.45" customHeight="1" x14ac:dyDescent="0.2">
      <c r="A575" s="312" t="s">
        <v>826</v>
      </c>
      <c r="B575" s="313" t="s">
        <v>153</v>
      </c>
      <c r="C575" s="312" t="s">
        <v>15</v>
      </c>
      <c r="D575" s="314">
        <v>1240</v>
      </c>
      <c r="E575" s="313" t="s">
        <v>939</v>
      </c>
      <c r="F575" s="315" t="str">
        <f>IF(IF(A575="","",COUNTIF(CONSOLIDADO!$A:$A,$A575))=0,"REVISAR","OK")</f>
        <v>OK</v>
      </c>
    </row>
    <row r="576" spans="1:6" ht="11.45" customHeight="1" x14ac:dyDescent="0.2">
      <c r="A576" s="312" t="s">
        <v>826</v>
      </c>
      <c r="B576" s="313" t="s">
        <v>153</v>
      </c>
      <c r="C576" s="312" t="s">
        <v>15</v>
      </c>
      <c r="D576" s="314">
        <v>1300</v>
      </c>
      <c r="E576" s="313" t="s">
        <v>944</v>
      </c>
      <c r="F576" s="315" t="str">
        <f>IF(IF(A576="","",COUNTIF(CONSOLIDADO!$A:$A,$A576))=0,"REVISAR","OK")</f>
        <v>OK</v>
      </c>
    </row>
    <row r="577" spans="1:6" ht="11.45" customHeight="1" x14ac:dyDescent="0.2">
      <c r="A577" s="312" t="s">
        <v>826</v>
      </c>
      <c r="B577" s="313" t="s">
        <v>153</v>
      </c>
      <c r="C577" s="312" t="s">
        <v>15</v>
      </c>
      <c r="D577" s="314">
        <v>1309</v>
      </c>
      <c r="E577" s="313" t="s">
        <v>982</v>
      </c>
      <c r="F577" s="315" t="str">
        <f>IF(IF(A577="","",COUNTIF(CONSOLIDADO!$A:$A,$A577))=0,"REVISAR","OK")</f>
        <v>OK</v>
      </c>
    </row>
    <row r="578" spans="1:6" ht="11.45" customHeight="1" x14ac:dyDescent="0.2">
      <c r="A578" s="312" t="s">
        <v>826</v>
      </c>
      <c r="B578" s="313" t="s">
        <v>153</v>
      </c>
      <c r="C578" s="312" t="s">
        <v>15</v>
      </c>
      <c r="D578" s="314">
        <v>1489</v>
      </c>
      <c r="E578" s="313" t="s">
        <v>945</v>
      </c>
      <c r="F578" s="315" t="str">
        <f>IF(IF(A578="","",COUNTIF(CONSOLIDADO!$A:$A,$A578))=0,"REVISAR","OK")</f>
        <v>OK</v>
      </c>
    </row>
    <row r="579" spans="1:6" ht="11.45" customHeight="1" x14ac:dyDescent="0.2">
      <c r="A579" s="312" t="s">
        <v>826</v>
      </c>
      <c r="B579" s="313" t="s">
        <v>153</v>
      </c>
      <c r="C579" s="312" t="s">
        <v>15</v>
      </c>
      <c r="D579" s="314">
        <v>1490</v>
      </c>
      <c r="E579" s="313" t="s">
        <v>945</v>
      </c>
      <c r="F579" s="315" t="str">
        <f>IF(IF(A579="","",COUNTIF(CONSOLIDADO!$A:$A,$A579))=0,"REVISAR","OK")</f>
        <v>OK</v>
      </c>
    </row>
    <row r="580" spans="1:6" ht="11.45" customHeight="1" x14ac:dyDescent="0.2">
      <c r="A580" s="312" t="s">
        <v>826</v>
      </c>
      <c r="B580" s="313" t="s">
        <v>153</v>
      </c>
      <c r="C580" s="312" t="s">
        <v>15</v>
      </c>
      <c r="D580" s="314">
        <v>1517</v>
      </c>
      <c r="E580" s="313" t="s">
        <v>936</v>
      </c>
      <c r="F580" s="315" t="str">
        <f>IF(IF(A580="","",COUNTIF(CONSOLIDADO!$A:$A,$A580))=0,"REVISAR","OK")</f>
        <v>OK</v>
      </c>
    </row>
    <row r="581" spans="1:6" ht="11.45" customHeight="1" x14ac:dyDescent="0.2">
      <c r="A581" s="312" t="s">
        <v>826</v>
      </c>
      <c r="B581" s="313" t="s">
        <v>153</v>
      </c>
      <c r="C581" s="312" t="s">
        <v>15</v>
      </c>
      <c r="D581" s="314">
        <v>1610</v>
      </c>
      <c r="E581" s="313" t="s">
        <v>951</v>
      </c>
      <c r="F581" s="315" t="str">
        <f>IF(IF(A581="","",COUNTIF(CONSOLIDADO!$A:$A,$A581))=0,"REVISAR","OK")</f>
        <v>OK</v>
      </c>
    </row>
    <row r="582" spans="1:6" ht="11.45" customHeight="1" x14ac:dyDescent="0.2">
      <c r="A582" s="312" t="s">
        <v>826</v>
      </c>
      <c r="B582" s="313" t="s">
        <v>153</v>
      </c>
      <c r="C582" s="312" t="s">
        <v>15</v>
      </c>
      <c r="D582" s="314">
        <v>2000</v>
      </c>
      <c r="E582" s="313" t="s">
        <v>938</v>
      </c>
      <c r="F582" s="315" t="str">
        <f>IF(IF(A582="","",COUNTIF(CONSOLIDADO!$A:$A,$A582))=0,"REVISAR","OK")</f>
        <v>OK</v>
      </c>
    </row>
    <row r="583" spans="1:6" ht="11.45" customHeight="1" x14ac:dyDescent="0.2">
      <c r="A583" s="312" t="s">
        <v>826</v>
      </c>
      <c r="B583" s="313" t="s">
        <v>153</v>
      </c>
      <c r="C583" s="312" t="s">
        <v>15</v>
      </c>
      <c r="D583" s="314">
        <v>2996</v>
      </c>
      <c r="E583" s="313" t="s">
        <v>937</v>
      </c>
      <c r="F583" s="315" t="str">
        <f>IF(IF(A583="","",COUNTIF(CONSOLIDADO!$A:$A,$A583))=0,"REVISAR","OK")</f>
        <v>OK</v>
      </c>
    </row>
    <row r="584" spans="1:6" ht="11.45" customHeight="1" x14ac:dyDescent="0.2">
      <c r="A584" s="312" t="s">
        <v>827</v>
      </c>
      <c r="B584" s="313" t="s">
        <v>179</v>
      </c>
      <c r="C584" s="312" t="s">
        <v>15</v>
      </c>
      <c r="D584" s="314">
        <v>11200</v>
      </c>
      <c r="E584" s="313" t="s">
        <v>936</v>
      </c>
      <c r="F584" s="315" t="str">
        <f>IF(IF(A584="","",COUNTIF(CONSOLIDADO!$A:$A,$A584))=0,"REVISAR","OK")</f>
        <v>OK</v>
      </c>
    </row>
    <row r="585" spans="1:6" ht="11.45" customHeight="1" x14ac:dyDescent="0.2">
      <c r="A585" s="312" t="s">
        <v>828</v>
      </c>
      <c r="B585" s="313" t="s">
        <v>38</v>
      </c>
      <c r="C585" s="312" t="s">
        <v>15</v>
      </c>
      <c r="D585" s="314">
        <v>4165</v>
      </c>
      <c r="E585" s="313" t="s">
        <v>931</v>
      </c>
      <c r="F585" s="315" t="str">
        <f>IF(IF(A585="","",COUNTIF(CONSOLIDADO!$A:$A,$A585))=0,"REVISAR","OK")</f>
        <v>OK</v>
      </c>
    </row>
    <row r="586" spans="1:6" ht="11.45" customHeight="1" x14ac:dyDescent="0.2">
      <c r="A586" s="312" t="s">
        <v>828</v>
      </c>
      <c r="B586" s="313" t="s">
        <v>38</v>
      </c>
      <c r="C586" s="312" t="s">
        <v>15</v>
      </c>
      <c r="D586" s="314">
        <v>5200</v>
      </c>
      <c r="E586" s="313" t="s">
        <v>936</v>
      </c>
      <c r="F586" s="315" t="str">
        <f>IF(IF(A586="","",COUNTIF(CONSOLIDADO!$A:$A,$A586))=0,"REVISAR","OK")</f>
        <v>OK</v>
      </c>
    </row>
    <row r="587" spans="1:6" ht="11.45" customHeight="1" x14ac:dyDescent="0.2">
      <c r="A587" s="312" t="s">
        <v>828</v>
      </c>
      <c r="B587" s="313" t="s">
        <v>38</v>
      </c>
      <c r="C587" s="312" t="s">
        <v>15</v>
      </c>
      <c r="D587" s="314">
        <v>6000</v>
      </c>
      <c r="E587" s="313" t="s">
        <v>943</v>
      </c>
      <c r="F587" s="315" t="str">
        <f>IF(IF(A587="","",COUNTIF(CONSOLIDADO!$A:$A,$A587))=0,"REVISAR","OK")</f>
        <v>OK</v>
      </c>
    </row>
    <row r="588" spans="1:6" ht="11.45" customHeight="1" x14ac:dyDescent="0.2">
      <c r="A588" s="312" t="s">
        <v>828</v>
      </c>
      <c r="B588" s="313" t="s">
        <v>38</v>
      </c>
      <c r="C588" s="312" t="s">
        <v>15</v>
      </c>
      <c r="D588" s="314">
        <v>7128</v>
      </c>
      <c r="E588" s="313" t="s">
        <v>2210</v>
      </c>
      <c r="F588" s="315" t="str">
        <f>IF(IF(A588="","",COUNTIF(CONSOLIDADO!$A:$A,$A588))=0,"REVISAR","OK")</f>
        <v>OK</v>
      </c>
    </row>
    <row r="589" spans="1:6" ht="11.45" customHeight="1" x14ac:dyDescent="0.2">
      <c r="A589" s="312" t="s">
        <v>828</v>
      </c>
      <c r="B589" s="313" t="s">
        <v>38</v>
      </c>
      <c r="C589" s="312" t="s">
        <v>15</v>
      </c>
      <c r="D589" s="314">
        <v>7703</v>
      </c>
      <c r="E589" s="313" t="s">
        <v>934</v>
      </c>
      <c r="F589" s="315" t="str">
        <f>IF(IF(A589="","",COUNTIF(CONSOLIDADO!$A:$A,$A589))=0,"REVISAR","OK")</f>
        <v>OK</v>
      </c>
    </row>
    <row r="590" spans="1:6" ht="11.45" customHeight="1" x14ac:dyDescent="0.2">
      <c r="A590" s="312" t="s">
        <v>828</v>
      </c>
      <c r="B590" s="313" t="s">
        <v>38</v>
      </c>
      <c r="C590" s="312" t="s">
        <v>15</v>
      </c>
      <c r="D590" s="314">
        <v>9520</v>
      </c>
      <c r="E590" s="313" t="s">
        <v>949</v>
      </c>
      <c r="F590" s="315" t="str">
        <f>IF(IF(A590="","",COUNTIF(CONSOLIDADO!$A:$A,$A590))=0,"REVISAR","OK")</f>
        <v>OK</v>
      </c>
    </row>
    <row r="591" spans="1:6" ht="11.45" customHeight="1" x14ac:dyDescent="0.2">
      <c r="A591" s="312" t="s">
        <v>828</v>
      </c>
      <c r="B591" s="313" t="s">
        <v>38</v>
      </c>
      <c r="C591" s="312" t="s">
        <v>15</v>
      </c>
      <c r="D591" s="314">
        <v>9690</v>
      </c>
      <c r="E591" s="313" t="s">
        <v>944</v>
      </c>
      <c r="F591" s="315" t="str">
        <f>IF(IF(A591="","",COUNTIF(CONSOLIDADO!$A:$A,$A591))=0,"REVISAR","OK")</f>
        <v>OK</v>
      </c>
    </row>
    <row r="592" spans="1:6" ht="11.45" customHeight="1" x14ac:dyDescent="0.2">
      <c r="A592" s="312" t="s">
        <v>2298</v>
      </c>
      <c r="B592" s="313" t="s">
        <v>2299</v>
      </c>
      <c r="C592" s="312" t="s">
        <v>15</v>
      </c>
      <c r="D592" s="314">
        <v>7500</v>
      </c>
      <c r="E592" s="313" t="s">
        <v>2073</v>
      </c>
      <c r="F592" s="315" t="str">
        <f>IF(IF(A592="","",COUNTIF(CONSOLIDADO!$A:$A,$A592))=0,"REVISAR","OK")</f>
        <v>OK</v>
      </c>
    </row>
    <row r="593" spans="1:6" ht="11.45" customHeight="1" x14ac:dyDescent="0.2">
      <c r="A593" s="312" t="s">
        <v>829</v>
      </c>
      <c r="B593" s="313" t="s">
        <v>623</v>
      </c>
      <c r="C593" s="312" t="s">
        <v>942</v>
      </c>
      <c r="D593" s="314">
        <v>2011</v>
      </c>
      <c r="E593" s="313" t="s">
        <v>2146</v>
      </c>
      <c r="F593" s="315" t="str">
        <f>IF(IF(A593="","",COUNTIF(CONSOLIDADO!$A:$A,$A593))=0,"REVISAR","OK")</f>
        <v>OK</v>
      </c>
    </row>
    <row r="594" spans="1:6" ht="11.45" customHeight="1" x14ac:dyDescent="0.2">
      <c r="A594" s="312" t="s">
        <v>829</v>
      </c>
      <c r="B594" s="313" t="s">
        <v>623</v>
      </c>
      <c r="C594" s="312" t="s">
        <v>942</v>
      </c>
      <c r="D594" s="314">
        <v>2142</v>
      </c>
      <c r="E594" s="313" t="s">
        <v>2146</v>
      </c>
      <c r="F594" s="315" t="str">
        <f>IF(IF(A594="","",COUNTIF(CONSOLIDADO!$A:$A,$A594))=0,"REVISAR","OK")</f>
        <v>OK</v>
      </c>
    </row>
    <row r="595" spans="1:6" ht="11.45" customHeight="1" x14ac:dyDescent="0.2">
      <c r="A595" s="312" t="s">
        <v>829</v>
      </c>
      <c r="B595" s="313" t="s">
        <v>623</v>
      </c>
      <c r="C595" s="312" t="s">
        <v>942</v>
      </c>
      <c r="D595" s="314">
        <v>2142</v>
      </c>
      <c r="E595" s="313" t="s">
        <v>982</v>
      </c>
      <c r="F595" s="315" t="str">
        <f>IF(IF(A595="","",COUNTIF(CONSOLIDADO!$A:$A,$A595))=0,"REVISAR","OK")</f>
        <v>OK</v>
      </c>
    </row>
    <row r="596" spans="1:6" ht="11.45" customHeight="1" x14ac:dyDescent="0.2">
      <c r="A596" s="312" t="s">
        <v>829</v>
      </c>
      <c r="B596" s="313" t="s">
        <v>623</v>
      </c>
      <c r="C596" s="312" t="s">
        <v>942</v>
      </c>
      <c r="D596" s="314">
        <v>2285</v>
      </c>
      <c r="E596" s="313" t="s">
        <v>933</v>
      </c>
      <c r="F596" s="315" t="str">
        <f>IF(IF(A596="","",COUNTIF(CONSOLIDADO!$A:$A,$A596))=0,"REVISAR","OK")</f>
        <v>OK</v>
      </c>
    </row>
    <row r="597" spans="1:6" ht="11.45" customHeight="1" x14ac:dyDescent="0.2">
      <c r="A597" s="312" t="s">
        <v>155</v>
      </c>
      <c r="B597" s="313" t="s">
        <v>154</v>
      </c>
      <c r="C597" s="312" t="s">
        <v>15</v>
      </c>
      <c r="D597" s="314">
        <v>2950</v>
      </c>
      <c r="E597" s="313" t="s">
        <v>2276</v>
      </c>
      <c r="F597" s="315" t="str">
        <f>IF(IF(A597="","",COUNTIF(CONSOLIDADO!$A:$A,$A597))=0,"REVISAR","OK")</f>
        <v>OK</v>
      </c>
    </row>
    <row r="598" spans="1:6" ht="11.45" customHeight="1" x14ac:dyDescent="0.2">
      <c r="A598" s="312" t="s">
        <v>155</v>
      </c>
      <c r="B598" s="313" t="s">
        <v>154</v>
      </c>
      <c r="C598" s="312" t="s">
        <v>15</v>
      </c>
      <c r="D598" s="314">
        <v>3000</v>
      </c>
      <c r="E598" s="313" t="s">
        <v>943</v>
      </c>
      <c r="F598" s="315" t="str">
        <f>IF(IF(A598="","",COUNTIF(CONSOLIDADO!$A:$A,$A598))=0,"REVISAR","OK")</f>
        <v>OK</v>
      </c>
    </row>
    <row r="599" spans="1:6" ht="11.45" customHeight="1" x14ac:dyDescent="0.2">
      <c r="A599" s="312" t="s">
        <v>155</v>
      </c>
      <c r="B599" s="313" t="s">
        <v>154</v>
      </c>
      <c r="C599" s="312" t="s">
        <v>15</v>
      </c>
      <c r="D599" s="314">
        <v>4000</v>
      </c>
      <c r="E599" s="313" t="s">
        <v>938</v>
      </c>
      <c r="F599" s="315" t="str">
        <f>IF(IF(A599="","",COUNTIF(CONSOLIDADO!$A:$A,$A599))=0,"REVISAR","OK")</f>
        <v>OK</v>
      </c>
    </row>
    <row r="600" spans="1:6" ht="11.45" customHeight="1" x14ac:dyDescent="0.2">
      <c r="A600" s="312" t="s">
        <v>155</v>
      </c>
      <c r="B600" s="313" t="s">
        <v>154</v>
      </c>
      <c r="C600" s="312" t="s">
        <v>15</v>
      </c>
      <c r="D600" s="314">
        <v>4400</v>
      </c>
      <c r="E600" s="313" t="s">
        <v>2210</v>
      </c>
      <c r="F600" s="315" t="str">
        <f>IF(IF(A600="","",COUNTIF(CONSOLIDADO!$A:$A,$A600))=0,"REVISAR","OK")</f>
        <v>OK</v>
      </c>
    </row>
    <row r="601" spans="1:6" ht="11.45" customHeight="1" x14ac:dyDescent="0.2">
      <c r="A601" s="312" t="s">
        <v>155</v>
      </c>
      <c r="B601" s="313" t="s">
        <v>154</v>
      </c>
      <c r="C601" s="312" t="s">
        <v>15</v>
      </c>
      <c r="D601" s="314">
        <v>4500</v>
      </c>
      <c r="E601" s="313" t="s">
        <v>944</v>
      </c>
      <c r="F601" s="315" t="str">
        <f>IF(IF(A601="","",COUNTIF(CONSOLIDADO!$A:$A,$A601))=0,"REVISAR","OK")</f>
        <v>OK</v>
      </c>
    </row>
    <row r="602" spans="1:6" ht="11.45" customHeight="1" x14ac:dyDescent="0.2">
      <c r="A602" s="312" t="s">
        <v>155</v>
      </c>
      <c r="B602" s="313" t="s">
        <v>154</v>
      </c>
      <c r="C602" s="312" t="s">
        <v>15</v>
      </c>
      <c r="D602" s="314">
        <v>4500</v>
      </c>
      <c r="E602" s="313" t="s">
        <v>2146</v>
      </c>
      <c r="F602" s="315" t="str">
        <f>IF(IF(A602="","",COUNTIF(CONSOLIDADO!$A:$A,$A602))=0,"REVISAR","OK")</f>
        <v>OK</v>
      </c>
    </row>
    <row r="603" spans="1:6" ht="11.45" customHeight="1" x14ac:dyDescent="0.2">
      <c r="A603" s="312" t="s">
        <v>155</v>
      </c>
      <c r="B603" s="313" t="s">
        <v>154</v>
      </c>
      <c r="C603" s="312" t="s">
        <v>15</v>
      </c>
      <c r="D603" s="314">
        <v>4500</v>
      </c>
      <c r="E603" s="313" t="s">
        <v>2146</v>
      </c>
      <c r="F603" s="315" t="str">
        <f>IF(IF(A603="","",COUNTIF(CONSOLIDADO!$A:$A,$A603))=0,"REVISAR","OK")</f>
        <v>OK</v>
      </c>
    </row>
    <row r="604" spans="1:6" ht="11.45" customHeight="1" x14ac:dyDescent="0.2">
      <c r="A604" s="312" t="s">
        <v>155</v>
      </c>
      <c r="B604" s="313" t="s">
        <v>154</v>
      </c>
      <c r="C604" s="312" t="s">
        <v>15</v>
      </c>
      <c r="D604" s="314">
        <v>4500</v>
      </c>
      <c r="E604" s="313" t="s">
        <v>2146</v>
      </c>
      <c r="F604" s="315" t="str">
        <f>IF(IF(A604="","",COUNTIF(CONSOLIDADO!$A:$A,$A604))=0,"REVISAR","OK")</f>
        <v>OK</v>
      </c>
    </row>
    <row r="605" spans="1:6" ht="11.45" customHeight="1" x14ac:dyDescent="0.2">
      <c r="A605" s="312" t="s">
        <v>155</v>
      </c>
      <c r="B605" s="313" t="s">
        <v>154</v>
      </c>
      <c r="C605" s="312" t="s">
        <v>15</v>
      </c>
      <c r="D605" s="314">
        <v>4500</v>
      </c>
      <c r="E605" s="313" t="s">
        <v>2146</v>
      </c>
      <c r="F605" s="315" t="str">
        <f>IF(IF(A605="","",COUNTIF(CONSOLIDADO!$A:$A,$A605))=0,"REVISAR","OK")</f>
        <v>OK</v>
      </c>
    </row>
    <row r="606" spans="1:6" ht="11.45" customHeight="1" x14ac:dyDescent="0.2">
      <c r="A606" s="312" t="s">
        <v>155</v>
      </c>
      <c r="B606" s="313" t="s">
        <v>154</v>
      </c>
      <c r="C606" s="312" t="s">
        <v>15</v>
      </c>
      <c r="D606" s="314">
        <v>4522</v>
      </c>
      <c r="E606" s="313" t="s">
        <v>982</v>
      </c>
      <c r="F606" s="315" t="str">
        <f>IF(IF(A606="","",COUNTIF(CONSOLIDADO!$A:$A,$A606))=0,"REVISAR","OK")</f>
        <v>OK</v>
      </c>
    </row>
    <row r="607" spans="1:6" ht="11.45" customHeight="1" x14ac:dyDescent="0.2">
      <c r="A607" s="312" t="s">
        <v>155</v>
      </c>
      <c r="B607" s="313" t="s">
        <v>154</v>
      </c>
      <c r="C607" s="312" t="s">
        <v>15</v>
      </c>
      <c r="D607" s="314">
        <v>4760</v>
      </c>
      <c r="E607" s="313" t="s">
        <v>939</v>
      </c>
      <c r="F607" s="315" t="str">
        <f>IF(IF(A607="","",COUNTIF(CONSOLIDADO!$A:$A,$A607))=0,"REVISAR","OK")</f>
        <v>OK</v>
      </c>
    </row>
    <row r="608" spans="1:6" ht="11.45" customHeight="1" x14ac:dyDescent="0.2">
      <c r="A608" s="312" t="s">
        <v>155</v>
      </c>
      <c r="B608" s="313" t="s">
        <v>154</v>
      </c>
      <c r="C608" s="312" t="s">
        <v>15</v>
      </c>
      <c r="D608" s="314">
        <v>4800</v>
      </c>
      <c r="E608" s="313" t="s">
        <v>938</v>
      </c>
      <c r="F608" s="315" t="str">
        <f>IF(IF(A608="","",COUNTIF(CONSOLIDADO!$A:$A,$A608))=0,"REVISAR","OK")</f>
        <v>OK</v>
      </c>
    </row>
    <row r="609" spans="1:6" ht="11.45" customHeight="1" x14ac:dyDescent="0.2">
      <c r="A609" s="312" t="s">
        <v>155</v>
      </c>
      <c r="B609" s="313" t="s">
        <v>154</v>
      </c>
      <c r="C609" s="312" t="s">
        <v>15</v>
      </c>
      <c r="D609" s="314">
        <v>4990</v>
      </c>
      <c r="E609" s="313" t="s">
        <v>931</v>
      </c>
      <c r="F609" s="315" t="str">
        <f>IF(IF(A609="","",COUNTIF(CONSOLIDADO!$A:$A,$A609))=0,"REVISAR","OK")</f>
        <v>OK</v>
      </c>
    </row>
    <row r="610" spans="1:6" ht="11.45" customHeight="1" x14ac:dyDescent="0.2">
      <c r="A610" s="312" t="s">
        <v>155</v>
      </c>
      <c r="B610" s="313" t="s">
        <v>154</v>
      </c>
      <c r="C610" s="312" t="s">
        <v>15</v>
      </c>
      <c r="D610" s="314">
        <v>5399</v>
      </c>
      <c r="E610" s="313" t="s">
        <v>937</v>
      </c>
      <c r="F610" s="315" t="str">
        <f>IF(IF(A610="","",COUNTIF(CONSOLIDADO!$A:$A,$A610))=0,"REVISAR","OK")</f>
        <v>OK</v>
      </c>
    </row>
    <row r="611" spans="1:6" ht="11.45" customHeight="1" x14ac:dyDescent="0.2">
      <c r="A611" s="312" t="s">
        <v>155</v>
      </c>
      <c r="B611" s="313" t="s">
        <v>154</v>
      </c>
      <c r="C611" s="312" t="s">
        <v>15</v>
      </c>
      <c r="D611" s="314">
        <v>5458</v>
      </c>
      <c r="E611" s="313" t="s">
        <v>2146</v>
      </c>
      <c r="F611" s="315" t="str">
        <f>IF(IF(A611="","",COUNTIF(CONSOLIDADO!$A:$A,$A611))=0,"REVISAR","OK")</f>
        <v>OK</v>
      </c>
    </row>
    <row r="612" spans="1:6" ht="11.45" customHeight="1" x14ac:dyDescent="0.2">
      <c r="A612" s="312" t="s">
        <v>155</v>
      </c>
      <c r="B612" s="313" t="s">
        <v>154</v>
      </c>
      <c r="C612" s="312" t="s">
        <v>15</v>
      </c>
      <c r="D612" s="314">
        <v>5589</v>
      </c>
      <c r="E612" s="313" t="s">
        <v>945</v>
      </c>
      <c r="F612" s="315" t="str">
        <f>IF(IF(A612="","",COUNTIF(CONSOLIDADO!$A:$A,$A612))=0,"REVISAR","OK")</f>
        <v>OK</v>
      </c>
    </row>
    <row r="613" spans="1:6" ht="11.45" customHeight="1" x14ac:dyDescent="0.2">
      <c r="A613" s="312" t="s">
        <v>155</v>
      </c>
      <c r="B613" s="313" t="s">
        <v>154</v>
      </c>
      <c r="C613" s="312" t="s">
        <v>15</v>
      </c>
      <c r="D613" s="314">
        <v>6000</v>
      </c>
      <c r="E613" s="313" t="s">
        <v>943</v>
      </c>
      <c r="F613" s="315" t="str">
        <f>IF(IF(A613="","",COUNTIF(CONSOLIDADO!$A:$A,$A613))=0,"REVISAR","OK")</f>
        <v>OK</v>
      </c>
    </row>
    <row r="614" spans="1:6" ht="11.45" customHeight="1" x14ac:dyDescent="0.2">
      <c r="A614" s="312" t="s">
        <v>1010</v>
      </c>
      <c r="B614" s="313" t="s">
        <v>1011</v>
      </c>
      <c r="C614" s="312" t="s">
        <v>15</v>
      </c>
      <c r="D614" s="314">
        <v>2890</v>
      </c>
      <c r="E614" s="313" t="s">
        <v>2073</v>
      </c>
      <c r="F614" s="315" t="str">
        <f>IF(IF(A614="","",COUNTIF(CONSOLIDADO!$A:$A,$A614))=0,"REVISAR","OK")</f>
        <v>OK</v>
      </c>
    </row>
    <row r="615" spans="1:6" ht="11.45" customHeight="1" x14ac:dyDescent="0.2">
      <c r="A615" s="312" t="s">
        <v>1010</v>
      </c>
      <c r="B615" s="313" t="s">
        <v>1011</v>
      </c>
      <c r="C615" s="312" t="s">
        <v>15</v>
      </c>
      <c r="D615" s="314">
        <v>3490</v>
      </c>
      <c r="E615" s="313" t="s">
        <v>929</v>
      </c>
      <c r="F615" s="315" t="str">
        <f>IF(IF(A615="","",COUNTIF(CONSOLIDADO!$A:$A,$A615))=0,"REVISAR","OK")</f>
        <v>OK</v>
      </c>
    </row>
    <row r="616" spans="1:6" ht="11.45" customHeight="1" x14ac:dyDescent="0.2">
      <c r="A616" s="312" t="s">
        <v>1010</v>
      </c>
      <c r="B616" s="313" t="s">
        <v>1011</v>
      </c>
      <c r="C616" s="312" t="s">
        <v>15</v>
      </c>
      <c r="D616" s="314">
        <v>4500</v>
      </c>
      <c r="E616" s="313" t="s">
        <v>935</v>
      </c>
      <c r="F616" s="315" t="str">
        <f>IF(IF(A616="","",COUNTIF(CONSOLIDADO!$A:$A,$A616))=0,"REVISAR","OK")</f>
        <v>OK</v>
      </c>
    </row>
    <row r="617" spans="1:6" ht="11.45" customHeight="1" x14ac:dyDescent="0.2">
      <c r="A617" s="312" t="s">
        <v>1346</v>
      </c>
      <c r="B617" s="313" t="s">
        <v>1347</v>
      </c>
      <c r="C617" s="312" t="s">
        <v>942</v>
      </c>
      <c r="D617" s="314">
        <v>1890</v>
      </c>
      <c r="E617" s="313" t="s">
        <v>929</v>
      </c>
      <c r="F617" s="315" t="str">
        <f>IF(IF(A617="","",COUNTIF(CONSOLIDADO!$A:$A,$A617))=0,"REVISAR","OK")</f>
        <v>OK</v>
      </c>
    </row>
    <row r="618" spans="1:6" ht="11.45" customHeight="1" x14ac:dyDescent="0.2">
      <c r="A618" s="312" t="s">
        <v>68</v>
      </c>
      <c r="B618" s="313" t="s">
        <v>27</v>
      </c>
      <c r="C618" s="312" t="s">
        <v>15</v>
      </c>
      <c r="D618" s="314">
        <v>6545</v>
      </c>
      <c r="E618" s="313" t="s">
        <v>946</v>
      </c>
      <c r="F618" s="315" t="str">
        <f>IF(IF(A618="","",COUNTIF(CONSOLIDADO!$A:$A,$A618))=0,"REVISAR","OK")</f>
        <v>OK</v>
      </c>
    </row>
    <row r="619" spans="1:6" ht="11.45" customHeight="1" x14ac:dyDescent="0.2">
      <c r="A619" s="312" t="s">
        <v>1014</v>
      </c>
      <c r="B619" s="313" t="s">
        <v>27</v>
      </c>
      <c r="C619" s="312" t="s">
        <v>906</v>
      </c>
      <c r="D619" s="314">
        <v>989</v>
      </c>
      <c r="E619" s="313" t="s">
        <v>934</v>
      </c>
      <c r="F619" s="315" t="str">
        <f>IF(IF(A619="","",COUNTIF(CONSOLIDADO!$A:$A,$A619))=0,"REVISAR","OK")</f>
        <v>OK</v>
      </c>
    </row>
    <row r="620" spans="1:6" ht="11.45" customHeight="1" x14ac:dyDescent="0.2">
      <c r="A620" s="312" t="s">
        <v>1014</v>
      </c>
      <c r="B620" s="313" t="s">
        <v>27</v>
      </c>
      <c r="C620" s="312" t="s">
        <v>906</v>
      </c>
      <c r="D620" s="314">
        <v>4711</v>
      </c>
      <c r="E620" s="313" t="s">
        <v>935</v>
      </c>
      <c r="F620" s="315" t="str">
        <f>IF(IF(A620="","",COUNTIF(CONSOLIDADO!$A:$A,$A620))=0,"REVISAR","OK")</f>
        <v>OK</v>
      </c>
    </row>
    <row r="621" spans="1:6" ht="11.45" customHeight="1" x14ac:dyDescent="0.2">
      <c r="A621" s="312" t="s">
        <v>1014</v>
      </c>
      <c r="B621" s="313" t="s">
        <v>27</v>
      </c>
      <c r="C621" s="312" t="s">
        <v>906</v>
      </c>
      <c r="D621" s="314">
        <v>4760</v>
      </c>
      <c r="E621" s="313" t="s">
        <v>935</v>
      </c>
      <c r="F621" s="315" t="str">
        <f>IF(IF(A621="","",COUNTIF(CONSOLIDADO!$A:$A,$A621))=0,"REVISAR","OK")</f>
        <v>OK</v>
      </c>
    </row>
    <row r="622" spans="1:6" ht="11.45" customHeight="1" x14ac:dyDescent="0.2">
      <c r="A622" s="312" t="s">
        <v>839</v>
      </c>
      <c r="B622" s="313" t="s">
        <v>582</v>
      </c>
      <c r="C622" s="312" t="s">
        <v>15</v>
      </c>
      <c r="D622" s="314">
        <v>640</v>
      </c>
      <c r="E622" s="313" t="s">
        <v>944</v>
      </c>
      <c r="F622" s="315" t="str">
        <f>IF(IF(A622="","",COUNTIF(CONSOLIDADO!$A:$A,$A622))=0,"REVISAR","OK")</f>
        <v>OK</v>
      </c>
    </row>
    <row r="623" spans="1:6" ht="11.45" customHeight="1" x14ac:dyDescent="0.2">
      <c r="A623" s="312" t="s">
        <v>1348</v>
      </c>
      <c r="B623" s="313" t="s">
        <v>1349</v>
      </c>
      <c r="C623" s="312" t="s">
        <v>15</v>
      </c>
      <c r="D623" s="314">
        <v>5290</v>
      </c>
      <c r="E623" s="313" t="s">
        <v>931</v>
      </c>
      <c r="F623" s="315" t="str">
        <f>IF(IF(A623="","",COUNTIF(CONSOLIDADO!$A:$A,$A623))=0,"REVISAR","OK")</f>
        <v>OK</v>
      </c>
    </row>
    <row r="624" spans="1:6" ht="11.45" customHeight="1" x14ac:dyDescent="0.2">
      <c r="A624" s="312" t="s">
        <v>1350</v>
      </c>
      <c r="B624" s="313" t="s">
        <v>1349</v>
      </c>
      <c r="C624" s="312" t="s">
        <v>906</v>
      </c>
      <c r="D624" s="314">
        <v>2130</v>
      </c>
      <c r="E624" s="313" t="s">
        <v>982</v>
      </c>
      <c r="F624" s="315" t="str">
        <f>IF(IF(A624="","",COUNTIF(CONSOLIDADO!$A:$A,$A624))=0,"REVISAR","OK")</f>
        <v>OK</v>
      </c>
    </row>
    <row r="625" spans="1:6" ht="11.45" customHeight="1" x14ac:dyDescent="0.2">
      <c r="A625" s="312" t="s">
        <v>157</v>
      </c>
      <c r="B625" s="313" t="s">
        <v>156</v>
      </c>
      <c r="C625" s="312" t="s">
        <v>111</v>
      </c>
      <c r="D625" s="314">
        <v>368</v>
      </c>
      <c r="E625" s="313" t="s">
        <v>937</v>
      </c>
      <c r="F625" s="315" t="str">
        <f>IF(IF(A625="","",COUNTIF(CONSOLIDADO!$A:$A,$A625))=0,"REVISAR","OK")</f>
        <v>OK</v>
      </c>
    </row>
    <row r="626" spans="1:6" ht="11.45" customHeight="1" x14ac:dyDescent="0.2">
      <c r="A626" s="312" t="s">
        <v>157</v>
      </c>
      <c r="B626" s="313" t="s">
        <v>156</v>
      </c>
      <c r="C626" s="312" t="s">
        <v>111</v>
      </c>
      <c r="D626" s="314">
        <v>416</v>
      </c>
      <c r="E626" s="313" t="s">
        <v>2233</v>
      </c>
      <c r="F626" s="315" t="str">
        <f>IF(IF(A626="","",COUNTIF(CONSOLIDADO!$A:$A,$A626))=0,"REVISAR","OK")</f>
        <v>OK</v>
      </c>
    </row>
    <row r="627" spans="1:6" ht="11.45" customHeight="1" x14ac:dyDescent="0.2">
      <c r="A627" s="312" t="s">
        <v>157</v>
      </c>
      <c r="B627" s="313" t="s">
        <v>156</v>
      </c>
      <c r="C627" s="312" t="s">
        <v>111</v>
      </c>
      <c r="D627" s="314">
        <v>416</v>
      </c>
      <c r="E627" s="313" t="s">
        <v>939</v>
      </c>
      <c r="F627" s="315" t="str">
        <f>IF(IF(A627="","",COUNTIF(CONSOLIDADO!$A:$A,$A627))=0,"REVISAR","OK")</f>
        <v>OK</v>
      </c>
    </row>
    <row r="628" spans="1:6" ht="11.45" customHeight="1" x14ac:dyDescent="0.2">
      <c r="A628" s="312" t="s">
        <v>157</v>
      </c>
      <c r="B628" s="313" t="s">
        <v>156</v>
      </c>
      <c r="C628" s="312" t="s">
        <v>111</v>
      </c>
      <c r="D628" s="314">
        <v>476</v>
      </c>
      <c r="E628" s="313" t="s">
        <v>2258</v>
      </c>
      <c r="F628" s="315" t="str">
        <f>IF(IF(A628="","",COUNTIF(CONSOLIDADO!$A:$A,$A628))=0,"REVISAR","OK")</f>
        <v>OK</v>
      </c>
    </row>
    <row r="629" spans="1:6" ht="11.45" customHeight="1" x14ac:dyDescent="0.2">
      <c r="A629" s="312" t="s">
        <v>157</v>
      </c>
      <c r="B629" s="313" t="s">
        <v>156</v>
      </c>
      <c r="C629" s="312" t="s">
        <v>111</v>
      </c>
      <c r="D629" s="314">
        <v>479</v>
      </c>
      <c r="E629" s="313" t="s">
        <v>945</v>
      </c>
      <c r="F629" s="315" t="str">
        <f>IF(IF(A629="","",COUNTIF(CONSOLIDADO!$A:$A,$A629))=0,"REVISAR","OK")</f>
        <v>OK</v>
      </c>
    </row>
    <row r="630" spans="1:6" ht="11.45" customHeight="1" x14ac:dyDescent="0.2">
      <c r="A630" s="312" t="s">
        <v>157</v>
      </c>
      <c r="B630" s="313" t="s">
        <v>156</v>
      </c>
      <c r="C630" s="312" t="s">
        <v>111</v>
      </c>
      <c r="D630" s="314">
        <v>499</v>
      </c>
      <c r="E630" s="313" t="s">
        <v>982</v>
      </c>
      <c r="F630" s="315" t="str">
        <f>IF(IF(A630="","",COUNTIF(CONSOLIDADO!$A:$A,$A630))=0,"REVISAR","OK")</f>
        <v>OK</v>
      </c>
    </row>
    <row r="631" spans="1:6" ht="11.45" customHeight="1" x14ac:dyDescent="0.2">
      <c r="A631" s="312" t="s">
        <v>157</v>
      </c>
      <c r="B631" s="313" t="s">
        <v>156</v>
      </c>
      <c r="C631" s="312" t="s">
        <v>111</v>
      </c>
      <c r="D631" s="314">
        <v>500</v>
      </c>
      <c r="E631" s="313" t="s">
        <v>2073</v>
      </c>
      <c r="F631" s="315" t="str">
        <f>IF(IF(A631="","",COUNTIF(CONSOLIDADO!$A:$A,$A631))=0,"REVISAR","OK")</f>
        <v>OK</v>
      </c>
    </row>
    <row r="632" spans="1:6" ht="11.45" customHeight="1" x14ac:dyDescent="0.2">
      <c r="A632" s="312" t="s">
        <v>157</v>
      </c>
      <c r="B632" s="313" t="s">
        <v>156</v>
      </c>
      <c r="C632" s="312" t="s">
        <v>111</v>
      </c>
      <c r="D632" s="314">
        <v>500</v>
      </c>
      <c r="E632" s="313" t="s">
        <v>2274</v>
      </c>
      <c r="F632" s="315" t="str">
        <f>IF(IF(A632="","",COUNTIF(CONSOLIDADO!$A:$A,$A632))=0,"REVISAR","OK")</f>
        <v>OK</v>
      </c>
    </row>
    <row r="633" spans="1:6" ht="11.45" customHeight="1" x14ac:dyDescent="0.2">
      <c r="A633" s="312" t="s">
        <v>157</v>
      </c>
      <c r="B633" s="313" t="s">
        <v>156</v>
      </c>
      <c r="C633" s="312" t="s">
        <v>111</v>
      </c>
      <c r="D633" s="314">
        <v>535</v>
      </c>
      <c r="E633" s="313" t="s">
        <v>1115</v>
      </c>
      <c r="F633" s="315" t="str">
        <f>IF(IF(A633="","",COUNTIF(CONSOLIDADO!$A:$A,$A633))=0,"REVISAR","OK")</f>
        <v>OK</v>
      </c>
    </row>
    <row r="634" spans="1:6" ht="11.45" customHeight="1" x14ac:dyDescent="0.2">
      <c r="A634" s="312" t="s">
        <v>157</v>
      </c>
      <c r="B634" s="313" t="s">
        <v>156</v>
      </c>
      <c r="C634" s="312" t="s">
        <v>111</v>
      </c>
      <c r="D634" s="314">
        <v>700</v>
      </c>
      <c r="E634" s="313" t="s">
        <v>938</v>
      </c>
      <c r="F634" s="315" t="str">
        <f>IF(IF(A634="","",COUNTIF(CONSOLIDADO!$A:$A,$A634))=0,"REVISAR","OK")</f>
        <v>OK</v>
      </c>
    </row>
    <row r="635" spans="1:6" ht="11.45" customHeight="1" x14ac:dyDescent="0.2">
      <c r="A635" s="312" t="s">
        <v>157</v>
      </c>
      <c r="B635" s="313" t="s">
        <v>156</v>
      </c>
      <c r="C635" s="312" t="s">
        <v>111</v>
      </c>
      <c r="D635" s="314">
        <v>811</v>
      </c>
      <c r="E635" s="313" t="s">
        <v>948</v>
      </c>
      <c r="F635" s="315" t="str">
        <f>IF(IF(A635="","",COUNTIF(CONSOLIDADO!$A:$A,$A635))=0,"REVISAR","OK")</f>
        <v>OK</v>
      </c>
    </row>
    <row r="636" spans="1:6" ht="11.45" customHeight="1" x14ac:dyDescent="0.2">
      <c r="A636" s="312" t="s">
        <v>157</v>
      </c>
      <c r="B636" s="313" t="s">
        <v>156</v>
      </c>
      <c r="C636" s="312" t="s">
        <v>111</v>
      </c>
      <c r="D636" s="314">
        <v>811</v>
      </c>
      <c r="E636" s="313" t="s">
        <v>2238</v>
      </c>
      <c r="F636" s="315" t="str">
        <f>IF(IF(A636="","",COUNTIF(CONSOLIDADO!$A:$A,$A636))=0,"REVISAR","OK")</f>
        <v>OK</v>
      </c>
    </row>
    <row r="637" spans="1:6" ht="11.45" customHeight="1" x14ac:dyDescent="0.2">
      <c r="A637" s="312" t="s">
        <v>157</v>
      </c>
      <c r="B637" s="313" t="s">
        <v>156</v>
      </c>
      <c r="C637" s="312" t="s">
        <v>111</v>
      </c>
      <c r="D637" s="314">
        <v>815</v>
      </c>
      <c r="E637" s="313" t="s">
        <v>946</v>
      </c>
      <c r="F637" s="315" t="str">
        <f>IF(IF(A637="","",COUNTIF(CONSOLIDADO!$A:$A,$A637))=0,"REVISAR","OK")</f>
        <v>OK</v>
      </c>
    </row>
    <row r="638" spans="1:6" ht="11.45" customHeight="1" x14ac:dyDescent="0.2">
      <c r="A638" s="312" t="s">
        <v>157</v>
      </c>
      <c r="B638" s="313" t="s">
        <v>156</v>
      </c>
      <c r="C638" s="312" t="s">
        <v>111</v>
      </c>
      <c r="D638" s="314">
        <v>816</v>
      </c>
      <c r="E638" s="313" t="s">
        <v>2005</v>
      </c>
      <c r="F638" s="315" t="str">
        <f>IF(IF(A638="","",COUNTIF(CONSOLIDADO!$A:$A,$A638))=0,"REVISAR","OK")</f>
        <v>OK</v>
      </c>
    </row>
    <row r="639" spans="1:6" ht="11.45" customHeight="1" x14ac:dyDescent="0.2">
      <c r="A639" s="312" t="s">
        <v>157</v>
      </c>
      <c r="B639" s="313" t="s">
        <v>156</v>
      </c>
      <c r="C639" s="312" t="s">
        <v>111</v>
      </c>
      <c r="D639" s="314">
        <v>816</v>
      </c>
      <c r="E639" s="313" t="s">
        <v>948</v>
      </c>
      <c r="F639" s="315" t="str">
        <f>IF(IF(A639="","",COUNTIF(CONSOLIDADO!$A:$A,$A639))=0,"REVISAR","OK")</f>
        <v>OK</v>
      </c>
    </row>
    <row r="640" spans="1:6" ht="11.45" customHeight="1" x14ac:dyDescent="0.2">
      <c r="A640" s="312" t="s">
        <v>157</v>
      </c>
      <c r="B640" s="313" t="s">
        <v>156</v>
      </c>
      <c r="C640" s="312" t="s">
        <v>111</v>
      </c>
      <c r="D640" s="314">
        <v>818</v>
      </c>
      <c r="E640" s="313" t="s">
        <v>932</v>
      </c>
      <c r="F640" s="315" t="str">
        <f>IF(IF(A640="","",COUNTIF(CONSOLIDADO!$A:$A,$A640))=0,"REVISAR","OK")</f>
        <v>OK</v>
      </c>
    </row>
    <row r="641" spans="1:6" ht="11.45" customHeight="1" x14ac:dyDescent="0.2">
      <c r="A641" s="312" t="s">
        <v>157</v>
      </c>
      <c r="B641" s="313" t="s">
        <v>156</v>
      </c>
      <c r="C641" s="312" t="s">
        <v>111</v>
      </c>
      <c r="D641" s="314">
        <v>818</v>
      </c>
      <c r="E641" s="313" t="s">
        <v>934</v>
      </c>
      <c r="F641" s="315" t="str">
        <f>IF(IF(A641="","",COUNTIF(CONSOLIDADO!$A:$A,$A641))=0,"REVISAR","OK")</f>
        <v>OK</v>
      </c>
    </row>
    <row r="642" spans="1:6" ht="11.45" customHeight="1" x14ac:dyDescent="0.2">
      <c r="A642" s="312" t="s">
        <v>157</v>
      </c>
      <c r="B642" s="313" t="s">
        <v>156</v>
      </c>
      <c r="C642" s="312" t="s">
        <v>111</v>
      </c>
      <c r="D642" s="314">
        <v>822</v>
      </c>
      <c r="E642" s="313" t="s">
        <v>2238</v>
      </c>
      <c r="F642" s="315" t="str">
        <f>IF(IF(A642="","",COUNTIF(CONSOLIDADO!$A:$A,$A642))=0,"REVISAR","OK")</f>
        <v>OK</v>
      </c>
    </row>
    <row r="643" spans="1:6" ht="11.45" customHeight="1" x14ac:dyDescent="0.2">
      <c r="A643" s="312" t="s">
        <v>157</v>
      </c>
      <c r="B643" s="313" t="s">
        <v>156</v>
      </c>
      <c r="C643" s="312" t="s">
        <v>111</v>
      </c>
      <c r="D643" s="314">
        <v>845</v>
      </c>
      <c r="E643" s="313" t="s">
        <v>935</v>
      </c>
      <c r="F643" s="315" t="str">
        <f>IF(IF(A643="","",COUNTIF(CONSOLIDADO!$A:$A,$A643))=0,"REVISAR","OK")</f>
        <v>OK</v>
      </c>
    </row>
    <row r="644" spans="1:6" ht="11.45" customHeight="1" x14ac:dyDescent="0.2">
      <c r="A644" s="312" t="s">
        <v>157</v>
      </c>
      <c r="B644" s="313" t="s">
        <v>156</v>
      </c>
      <c r="C644" s="312" t="s">
        <v>111</v>
      </c>
      <c r="D644" s="314">
        <v>845</v>
      </c>
      <c r="E644" s="313" t="s">
        <v>935</v>
      </c>
      <c r="F644" s="315" t="str">
        <f>IF(IF(A644="","",COUNTIF(CONSOLIDADO!$A:$A,$A644))=0,"REVISAR","OK")</f>
        <v>OK</v>
      </c>
    </row>
    <row r="645" spans="1:6" ht="11.45" customHeight="1" x14ac:dyDescent="0.2">
      <c r="A645" s="312" t="s">
        <v>157</v>
      </c>
      <c r="B645" s="313" t="s">
        <v>156</v>
      </c>
      <c r="C645" s="312" t="s">
        <v>111</v>
      </c>
      <c r="D645" s="314">
        <v>1094</v>
      </c>
      <c r="E645" s="313" t="s">
        <v>944</v>
      </c>
      <c r="F645" s="315" t="str">
        <f>IF(IF(A645="","",COUNTIF(CONSOLIDADO!$A:$A,$A645))=0,"REVISAR","OK")</f>
        <v>OK</v>
      </c>
    </row>
    <row r="646" spans="1:6" ht="11.45" customHeight="1" x14ac:dyDescent="0.2">
      <c r="A646" s="312" t="s">
        <v>157</v>
      </c>
      <c r="B646" s="313" t="s">
        <v>156</v>
      </c>
      <c r="C646" s="312" t="s">
        <v>111</v>
      </c>
      <c r="D646" s="314">
        <v>1094</v>
      </c>
      <c r="E646" s="313" t="s">
        <v>950</v>
      </c>
      <c r="F646" s="315" t="str">
        <f>IF(IF(A646="","",COUNTIF(CONSOLIDADO!$A:$A,$A646))=0,"REVISAR","OK")</f>
        <v>OK</v>
      </c>
    </row>
    <row r="647" spans="1:6" ht="11.45" customHeight="1" x14ac:dyDescent="0.2">
      <c r="A647" s="312" t="s">
        <v>157</v>
      </c>
      <c r="B647" s="313" t="s">
        <v>156</v>
      </c>
      <c r="C647" s="312" t="s">
        <v>111</v>
      </c>
      <c r="D647" s="314">
        <v>1190</v>
      </c>
      <c r="E647" s="313" t="s">
        <v>2276</v>
      </c>
      <c r="F647" s="315" t="str">
        <f>IF(IF(A647="","",COUNTIF(CONSOLIDADO!$A:$A,$A647))=0,"REVISAR","OK")</f>
        <v>OK</v>
      </c>
    </row>
    <row r="648" spans="1:6" ht="11.45" customHeight="1" x14ac:dyDescent="0.2">
      <c r="A648" s="312" t="s">
        <v>157</v>
      </c>
      <c r="B648" s="313" t="s">
        <v>156</v>
      </c>
      <c r="C648" s="312" t="s">
        <v>111</v>
      </c>
      <c r="D648" s="314">
        <v>1190</v>
      </c>
      <c r="E648" s="313" t="s">
        <v>937</v>
      </c>
      <c r="F648" s="315" t="str">
        <f>IF(IF(A648="","",COUNTIF(CONSOLIDADO!$A:$A,$A648))=0,"REVISAR","OK")</f>
        <v>OK</v>
      </c>
    </row>
    <row r="649" spans="1:6" ht="11.45" customHeight="1" x14ac:dyDescent="0.2">
      <c r="A649" s="312" t="s">
        <v>120</v>
      </c>
      <c r="B649" s="313" t="s">
        <v>121</v>
      </c>
      <c r="C649" s="312" t="s">
        <v>15</v>
      </c>
      <c r="D649" s="314">
        <v>1000</v>
      </c>
      <c r="E649" s="313" t="s">
        <v>938</v>
      </c>
      <c r="F649" s="315" t="str">
        <f>IF(IF(A649="","",COUNTIF(CONSOLIDADO!$A:$A,$A649))=0,"REVISAR","OK")</f>
        <v>OK</v>
      </c>
    </row>
    <row r="650" spans="1:6" ht="11.45" customHeight="1" x14ac:dyDescent="0.2">
      <c r="A650" s="312" t="s">
        <v>120</v>
      </c>
      <c r="B650" s="313" t="s">
        <v>121</v>
      </c>
      <c r="C650" s="312" t="s">
        <v>15</v>
      </c>
      <c r="D650" s="314">
        <v>1199</v>
      </c>
      <c r="E650" s="313" t="s">
        <v>2329</v>
      </c>
      <c r="F650" s="315" t="str">
        <f>IF(IF(A650="","",COUNTIF(CONSOLIDADO!$A:$A,$A650))=0,"REVISAR","OK")</f>
        <v>OK</v>
      </c>
    </row>
    <row r="651" spans="1:6" ht="11.45" customHeight="1" x14ac:dyDescent="0.2">
      <c r="A651" s="312" t="s">
        <v>120</v>
      </c>
      <c r="B651" s="313" t="s">
        <v>121</v>
      </c>
      <c r="C651" s="312" t="s">
        <v>15</v>
      </c>
      <c r="D651" s="314">
        <v>1238</v>
      </c>
      <c r="E651" s="313" t="s">
        <v>944</v>
      </c>
      <c r="F651" s="315" t="str">
        <f>IF(IF(A651="","",COUNTIF(CONSOLIDADO!$A:$A,$A651))=0,"REVISAR","OK")</f>
        <v>OK</v>
      </c>
    </row>
    <row r="652" spans="1:6" ht="11.45" customHeight="1" x14ac:dyDescent="0.2">
      <c r="A652" s="312" t="s">
        <v>120</v>
      </c>
      <c r="B652" s="313" t="s">
        <v>121</v>
      </c>
      <c r="C652" s="312" t="s">
        <v>15</v>
      </c>
      <c r="D652" s="314">
        <v>1300</v>
      </c>
      <c r="E652" s="313" t="s">
        <v>939</v>
      </c>
      <c r="F652" s="315" t="str">
        <f>IF(IF(A652="","",COUNTIF(CONSOLIDADO!$A:$A,$A652))=0,"REVISAR","OK")</f>
        <v>OK</v>
      </c>
    </row>
    <row r="653" spans="1:6" ht="11.45" customHeight="1" x14ac:dyDescent="0.2">
      <c r="A653" s="312" t="s">
        <v>120</v>
      </c>
      <c r="B653" s="313" t="s">
        <v>121</v>
      </c>
      <c r="C653" s="312" t="s">
        <v>15</v>
      </c>
      <c r="D653" s="314">
        <v>1309</v>
      </c>
      <c r="E653" s="313" t="s">
        <v>2233</v>
      </c>
      <c r="F653" s="315" t="str">
        <f>IF(IF(A653="","",COUNTIF(CONSOLIDADO!$A:$A,$A653))=0,"REVISAR","OK")</f>
        <v>OK</v>
      </c>
    </row>
    <row r="654" spans="1:6" ht="11.45" customHeight="1" x14ac:dyDescent="0.2">
      <c r="A654" s="312" t="s">
        <v>120</v>
      </c>
      <c r="B654" s="313" t="s">
        <v>121</v>
      </c>
      <c r="C654" s="312" t="s">
        <v>15</v>
      </c>
      <c r="D654" s="314">
        <v>1385</v>
      </c>
      <c r="E654" s="313" t="s">
        <v>932</v>
      </c>
      <c r="F654" s="315" t="str">
        <f>IF(IF(A654="","",COUNTIF(CONSOLIDADO!$A:$A,$A654))=0,"REVISAR","OK")</f>
        <v>OK</v>
      </c>
    </row>
    <row r="655" spans="1:6" ht="11.45" customHeight="1" x14ac:dyDescent="0.2">
      <c r="A655" s="312" t="s">
        <v>120</v>
      </c>
      <c r="B655" s="313" t="s">
        <v>121</v>
      </c>
      <c r="C655" s="312" t="s">
        <v>15</v>
      </c>
      <c r="D655" s="314">
        <v>1416</v>
      </c>
      <c r="E655" s="313" t="s">
        <v>982</v>
      </c>
      <c r="F655" s="315" t="str">
        <f>IF(IF(A655="","",COUNTIF(CONSOLIDADO!$A:$A,$A655))=0,"REVISAR","OK")</f>
        <v>OK</v>
      </c>
    </row>
    <row r="656" spans="1:6" ht="11.45" customHeight="1" x14ac:dyDescent="0.2">
      <c r="A656" s="312" t="s">
        <v>120</v>
      </c>
      <c r="B656" s="313" t="s">
        <v>121</v>
      </c>
      <c r="C656" s="312" t="s">
        <v>15</v>
      </c>
      <c r="D656" s="314">
        <v>1419</v>
      </c>
      <c r="E656" s="313" t="s">
        <v>946</v>
      </c>
      <c r="F656" s="315" t="str">
        <f>IF(IF(A656="","",COUNTIF(CONSOLIDADO!$A:$A,$A656))=0,"REVISAR","OK")</f>
        <v>OK</v>
      </c>
    </row>
    <row r="657" spans="1:6" ht="11.45" customHeight="1" x14ac:dyDescent="0.2">
      <c r="A657" s="312" t="s">
        <v>120</v>
      </c>
      <c r="B657" s="313" t="s">
        <v>121</v>
      </c>
      <c r="C657" s="312" t="s">
        <v>15</v>
      </c>
      <c r="D657" s="314">
        <v>1423</v>
      </c>
      <c r="E657" s="313" t="s">
        <v>932</v>
      </c>
      <c r="F657" s="315" t="str">
        <f>IF(IF(A657="","",COUNTIF(CONSOLIDADO!$A:$A,$A657))=0,"REVISAR","OK")</f>
        <v>OK</v>
      </c>
    </row>
    <row r="658" spans="1:6" ht="11.45" customHeight="1" x14ac:dyDescent="0.2">
      <c r="A658" s="312" t="s">
        <v>120</v>
      </c>
      <c r="B658" s="313" t="s">
        <v>121</v>
      </c>
      <c r="C658" s="312" t="s">
        <v>15</v>
      </c>
      <c r="D658" s="314">
        <v>1428</v>
      </c>
      <c r="E658" s="313" t="s">
        <v>939</v>
      </c>
      <c r="F658" s="315" t="str">
        <f>IF(IF(A658="","",COUNTIF(CONSOLIDADO!$A:$A,$A658))=0,"REVISAR","OK")</f>
        <v>OK</v>
      </c>
    </row>
    <row r="659" spans="1:6" ht="11.45" customHeight="1" x14ac:dyDescent="0.2">
      <c r="A659" s="312" t="s">
        <v>120</v>
      </c>
      <c r="B659" s="313" t="s">
        <v>121</v>
      </c>
      <c r="C659" s="312" t="s">
        <v>15</v>
      </c>
      <c r="D659" s="314">
        <v>1428</v>
      </c>
      <c r="E659" s="313" t="s">
        <v>982</v>
      </c>
      <c r="F659" s="315" t="str">
        <f>IF(IF(A659="","",COUNTIF(CONSOLIDADO!$A:$A,$A659))=0,"REVISAR","OK")</f>
        <v>OK</v>
      </c>
    </row>
    <row r="660" spans="1:6" ht="11.45" customHeight="1" x14ac:dyDescent="0.2">
      <c r="A660" s="312" t="s">
        <v>120</v>
      </c>
      <c r="B660" s="313" t="s">
        <v>121</v>
      </c>
      <c r="C660" s="312" t="s">
        <v>15</v>
      </c>
      <c r="D660" s="314">
        <v>1494</v>
      </c>
      <c r="E660" s="313" t="s">
        <v>2238</v>
      </c>
      <c r="F660" s="315" t="str">
        <f>IF(IF(A660="","",COUNTIF(CONSOLIDADO!$A:$A,$A660))=0,"REVISAR","OK")</f>
        <v>OK</v>
      </c>
    </row>
    <row r="661" spans="1:6" ht="11.45" customHeight="1" x14ac:dyDescent="0.2">
      <c r="A661" s="312" t="s">
        <v>120</v>
      </c>
      <c r="B661" s="313" t="s">
        <v>121</v>
      </c>
      <c r="C661" s="312" t="s">
        <v>15</v>
      </c>
      <c r="D661" s="314">
        <v>1497</v>
      </c>
      <c r="E661" s="313" t="s">
        <v>931</v>
      </c>
      <c r="F661" s="315" t="str">
        <f>IF(IF(A661="","",COUNTIF(CONSOLIDADO!$A:$A,$A661))=0,"REVISAR","OK")</f>
        <v>OK</v>
      </c>
    </row>
    <row r="662" spans="1:6" ht="11.45" customHeight="1" x14ac:dyDescent="0.2">
      <c r="A662" s="312" t="s">
        <v>120</v>
      </c>
      <c r="B662" s="313" t="s">
        <v>121</v>
      </c>
      <c r="C662" s="312" t="s">
        <v>15</v>
      </c>
      <c r="D662" s="314">
        <v>1518</v>
      </c>
      <c r="E662" s="313" t="s">
        <v>937</v>
      </c>
      <c r="F662" s="315" t="str">
        <f>IF(IF(A662="","",COUNTIF(CONSOLIDADO!$A:$A,$A662))=0,"REVISAR","OK")</f>
        <v>OK</v>
      </c>
    </row>
    <row r="663" spans="1:6" ht="11.45" customHeight="1" x14ac:dyDescent="0.2">
      <c r="A663" s="312" t="s">
        <v>120</v>
      </c>
      <c r="B663" s="313" t="s">
        <v>121</v>
      </c>
      <c r="C663" s="312" t="s">
        <v>15</v>
      </c>
      <c r="D663" s="314">
        <v>1579</v>
      </c>
      <c r="E663" s="313" t="s">
        <v>936</v>
      </c>
      <c r="F663" s="315" t="str">
        <f>IF(IF(A663="","",COUNTIF(CONSOLIDADO!$A:$A,$A663))=0,"REVISAR","OK")</f>
        <v>OK</v>
      </c>
    </row>
    <row r="664" spans="1:6" ht="11.45" customHeight="1" x14ac:dyDescent="0.2">
      <c r="A664" s="312" t="s">
        <v>120</v>
      </c>
      <c r="B664" s="313" t="s">
        <v>121</v>
      </c>
      <c r="C664" s="312" t="s">
        <v>15</v>
      </c>
      <c r="D664" s="314">
        <v>1589</v>
      </c>
      <c r="E664" s="313" t="s">
        <v>2238</v>
      </c>
      <c r="F664" s="315" t="str">
        <f>IF(IF(A664="","",COUNTIF(CONSOLIDADO!$A:$A,$A664))=0,"REVISAR","OK")</f>
        <v>OK</v>
      </c>
    </row>
    <row r="665" spans="1:6" ht="11.45" customHeight="1" x14ac:dyDescent="0.2">
      <c r="A665" s="312" t="s">
        <v>120</v>
      </c>
      <c r="B665" s="313" t="s">
        <v>121</v>
      </c>
      <c r="C665" s="312" t="s">
        <v>15</v>
      </c>
      <c r="D665" s="314">
        <v>1599</v>
      </c>
      <c r="E665" s="313" t="s">
        <v>948</v>
      </c>
      <c r="F665" s="315" t="str">
        <f>IF(IF(A665="","",COUNTIF(CONSOLIDADO!$A:$A,$A665))=0,"REVISAR","OK")</f>
        <v>OK</v>
      </c>
    </row>
    <row r="666" spans="1:6" ht="11.45" customHeight="1" x14ac:dyDescent="0.2">
      <c r="A666" s="312" t="s">
        <v>120</v>
      </c>
      <c r="B666" s="313" t="s">
        <v>121</v>
      </c>
      <c r="C666" s="312" t="s">
        <v>15</v>
      </c>
      <c r="D666" s="314">
        <v>1599</v>
      </c>
      <c r="E666" s="313" t="s">
        <v>2070</v>
      </c>
      <c r="F666" s="315" t="str">
        <f>IF(IF(A666="","",COUNTIF(CONSOLIDADO!$A:$A,$A666))=0,"REVISAR","OK")</f>
        <v>OK</v>
      </c>
    </row>
    <row r="667" spans="1:6" ht="11.45" customHeight="1" x14ac:dyDescent="0.2">
      <c r="A667" s="312" t="s">
        <v>120</v>
      </c>
      <c r="B667" s="313" t="s">
        <v>121</v>
      </c>
      <c r="C667" s="312" t="s">
        <v>15</v>
      </c>
      <c r="D667" s="314">
        <v>1600</v>
      </c>
      <c r="E667" s="313" t="s">
        <v>2146</v>
      </c>
      <c r="F667" s="315" t="str">
        <f>IF(IF(A667="","",COUNTIF(CONSOLIDADO!$A:$A,$A667))=0,"REVISAR","OK")</f>
        <v>OK</v>
      </c>
    </row>
    <row r="668" spans="1:6" ht="11.45" customHeight="1" x14ac:dyDescent="0.2">
      <c r="A668" s="312" t="s">
        <v>120</v>
      </c>
      <c r="B668" s="313" t="s">
        <v>121</v>
      </c>
      <c r="C668" s="312" t="s">
        <v>15</v>
      </c>
      <c r="D668" s="314">
        <v>1650</v>
      </c>
      <c r="E668" s="313" t="s">
        <v>2276</v>
      </c>
      <c r="F668" s="315" t="str">
        <f>IF(IF(A668="","",COUNTIF(CONSOLIDADO!$A:$A,$A668))=0,"REVISAR","OK")</f>
        <v>OK</v>
      </c>
    </row>
    <row r="669" spans="1:6" ht="11.45" customHeight="1" x14ac:dyDescent="0.2">
      <c r="A669" s="312" t="s">
        <v>120</v>
      </c>
      <c r="B669" s="313" t="s">
        <v>121</v>
      </c>
      <c r="C669" s="312" t="s">
        <v>15</v>
      </c>
      <c r="D669" s="314">
        <v>1696</v>
      </c>
      <c r="E669" s="313" t="s">
        <v>948</v>
      </c>
      <c r="F669" s="315" t="str">
        <f>IF(IF(A669="","",COUNTIF(CONSOLIDADO!$A:$A,$A669))=0,"REVISAR","OK")</f>
        <v>OK</v>
      </c>
    </row>
    <row r="670" spans="1:6" ht="11.45" customHeight="1" x14ac:dyDescent="0.2">
      <c r="A670" s="312" t="s">
        <v>120</v>
      </c>
      <c r="B670" s="313" t="s">
        <v>121</v>
      </c>
      <c r="C670" s="312" t="s">
        <v>15</v>
      </c>
      <c r="D670" s="314">
        <v>1749</v>
      </c>
      <c r="E670" s="313" t="s">
        <v>2005</v>
      </c>
      <c r="F670" s="315" t="str">
        <f>IF(IF(A670="","",COUNTIF(CONSOLIDADO!$A:$A,$A670))=0,"REVISAR","OK")</f>
        <v>OK</v>
      </c>
    </row>
    <row r="671" spans="1:6" ht="11.45" customHeight="1" x14ac:dyDescent="0.2">
      <c r="A671" s="312" t="s">
        <v>120</v>
      </c>
      <c r="B671" s="313" t="s">
        <v>121</v>
      </c>
      <c r="C671" s="312" t="s">
        <v>15</v>
      </c>
      <c r="D671" s="314">
        <v>1804</v>
      </c>
      <c r="E671" s="313" t="s">
        <v>930</v>
      </c>
      <c r="F671" s="315" t="str">
        <f>IF(IF(A671="","",COUNTIF(CONSOLIDADO!$A:$A,$A671))=0,"REVISAR","OK")</f>
        <v>OK</v>
      </c>
    </row>
    <row r="672" spans="1:6" ht="11.45" customHeight="1" x14ac:dyDescent="0.2">
      <c r="A672" s="312" t="s">
        <v>120</v>
      </c>
      <c r="B672" s="313" t="s">
        <v>121</v>
      </c>
      <c r="C672" s="312" t="s">
        <v>15</v>
      </c>
      <c r="D672" s="314">
        <v>1850</v>
      </c>
      <c r="E672" s="313" t="s">
        <v>945</v>
      </c>
      <c r="F672" s="315" t="str">
        <f>IF(IF(A672="","",COUNTIF(CONSOLIDADO!$A:$A,$A672))=0,"REVISAR","OK")</f>
        <v>OK</v>
      </c>
    </row>
    <row r="673" spans="1:6" ht="11.45" customHeight="1" x14ac:dyDescent="0.2">
      <c r="A673" s="312" t="s">
        <v>120</v>
      </c>
      <c r="B673" s="313" t="s">
        <v>121</v>
      </c>
      <c r="C673" s="312" t="s">
        <v>15</v>
      </c>
      <c r="D673" s="314">
        <v>1850</v>
      </c>
      <c r="E673" s="313" t="s">
        <v>945</v>
      </c>
      <c r="F673" s="315" t="str">
        <f>IF(IF(A673="","",COUNTIF(CONSOLIDADO!$A:$A,$A673))=0,"REVISAR","OK")</f>
        <v>OK</v>
      </c>
    </row>
    <row r="674" spans="1:6" ht="11.45" customHeight="1" x14ac:dyDescent="0.2">
      <c r="A674" s="312" t="s">
        <v>120</v>
      </c>
      <c r="B674" s="313" t="s">
        <v>121</v>
      </c>
      <c r="C674" s="312" t="s">
        <v>15</v>
      </c>
      <c r="D674" s="314">
        <v>1856</v>
      </c>
      <c r="E674" s="313" t="s">
        <v>999</v>
      </c>
      <c r="F674" s="315" t="str">
        <f>IF(IF(A674="","",COUNTIF(CONSOLIDADO!$A:$A,$A674))=0,"REVISAR","OK")</f>
        <v>OK</v>
      </c>
    </row>
    <row r="675" spans="1:6" ht="11.45" customHeight="1" x14ac:dyDescent="0.2">
      <c r="A675" s="312" t="s">
        <v>70</v>
      </c>
      <c r="B675" s="313" t="s">
        <v>14</v>
      </c>
      <c r="C675" s="312" t="s">
        <v>202</v>
      </c>
      <c r="D675" s="314">
        <v>476</v>
      </c>
      <c r="E675" s="313" t="s">
        <v>982</v>
      </c>
      <c r="F675" s="315" t="str">
        <f>IF(IF(A675="","",COUNTIF(CONSOLIDADO!$A:$A,$A675))=0,"REVISAR","OK")</f>
        <v>OK</v>
      </c>
    </row>
    <row r="676" spans="1:6" ht="11.45" customHeight="1" x14ac:dyDescent="0.2">
      <c r="A676" s="312" t="s">
        <v>70</v>
      </c>
      <c r="B676" s="313" t="s">
        <v>14</v>
      </c>
      <c r="C676" s="312" t="s">
        <v>202</v>
      </c>
      <c r="D676" s="314">
        <v>476</v>
      </c>
      <c r="E676" s="313" t="s">
        <v>2233</v>
      </c>
      <c r="F676" s="315" t="str">
        <f>IF(IF(A676="","",COUNTIF(CONSOLIDADO!$A:$A,$A676))=0,"REVISAR","OK")</f>
        <v>OK</v>
      </c>
    </row>
    <row r="677" spans="1:6" ht="11.45" customHeight="1" x14ac:dyDescent="0.2">
      <c r="A677" s="312" t="s">
        <v>70</v>
      </c>
      <c r="B677" s="313" t="s">
        <v>14</v>
      </c>
      <c r="C677" s="312" t="s">
        <v>202</v>
      </c>
      <c r="D677" s="314">
        <v>490</v>
      </c>
      <c r="E677" s="313" t="s">
        <v>945</v>
      </c>
      <c r="F677" s="315" t="str">
        <f>IF(IF(A677="","",COUNTIF(CONSOLIDADO!$A:$A,$A677))=0,"REVISAR","OK")</f>
        <v>OK</v>
      </c>
    </row>
    <row r="678" spans="1:6" ht="11.45" customHeight="1" x14ac:dyDescent="0.2">
      <c r="A678" s="312" t="s">
        <v>70</v>
      </c>
      <c r="B678" s="313" t="s">
        <v>14</v>
      </c>
      <c r="C678" s="312" t="s">
        <v>202</v>
      </c>
      <c r="D678" s="314">
        <v>545</v>
      </c>
      <c r="E678" s="313" t="s">
        <v>934</v>
      </c>
      <c r="F678" s="315" t="str">
        <f>IF(IF(A678="","",COUNTIF(CONSOLIDADO!$A:$A,$A678))=0,"REVISAR","OK")</f>
        <v>OK</v>
      </c>
    </row>
    <row r="679" spans="1:6" ht="11.45" customHeight="1" x14ac:dyDescent="0.2">
      <c r="A679" s="312" t="s">
        <v>70</v>
      </c>
      <c r="B679" s="313" t="s">
        <v>14</v>
      </c>
      <c r="C679" s="312" t="s">
        <v>202</v>
      </c>
      <c r="D679" s="314">
        <v>595</v>
      </c>
      <c r="E679" s="313" t="s">
        <v>939</v>
      </c>
      <c r="F679" s="315" t="str">
        <f>IF(IF(A679="","",COUNTIF(CONSOLIDADO!$A:$A,$A679))=0,"REVISAR","OK")</f>
        <v>OK</v>
      </c>
    </row>
    <row r="680" spans="1:6" ht="11.45" customHeight="1" x14ac:dyDescent="0.2">
      <c r="A680" s="312" t="s">
        <v>70</v>
      </c>
      <c r="B680" s="313" t="s">
        <v>14</v>
      </c>
      <c r="C680" s="312" t="s">
        <v>202</v>
      </c>
      <c r="D680" s="314">
        <v>595</v>
      </c>
      <c r="E680" s="313" t="s">
        <v>982</v>
      </c>
      <c r="F680" s="315" t="str">
        <f>IF(IF(A680="","",COUNTIF(CONSOLIDADO!$A:$A,$A680))=0,"REVISAR","OK")</f>
        <v>OK</v>
      </c>
    </row>
    <row r="681" spans="1:6" ht="11.45" customHeight="1" x14ac:dyDescent="0.2">
      <c r="A681" s="312" t="s">
        <v>70</v>
      </c>
      <c r="B681" s="313" t="s">
        <v>14</v>
      </c>
      <c r="C681" s="312" t="s">
        <v>202</v>
      </c>
      <c r="D681" s="314">
        <v>646</v>
      </c>
      <c r="E681" s="313" t="s">
        <v>950</v>
      </c>
      <c r="F681" s="315" t="str">
        <f>IF(IF(A681="","",COUNTIF(CONSOLIDADO!$A:$A,$A681))=0,"REVISAR","OK")</f>
        <v>OK</v>
      </c>
    </row>
    <row r="682" spans="1:6" ht="11.45" customHeight="1" x14ac:dyDescent="0.2">
      <c r="A682" s="312" t="s">
        <v>70</v>
      </c>
      <c r="B682" s="313" t="s">
        <v>14</v>
      </c>
      <c r="C682" s="312" t="s">
        <v>202</v>
      </c>
      <c r="D682" s="314">
        <v>649</v>
      </c>
      <c r="E682" s="313" t="s">
        <v>932</v>
      </c>
      <c r="F682" s="315" t="str">
        <f>IF(IF(A682="","",COUNTIF(CONSOLIDADO!$A:$A,$A682))=0,"REVISAR","OK")</f>
        <v>OK</v>
      </c>
    </row>
    <row r="683" spans="1:6" ht="11.45" customHeight="1" x14ac:dyDescent="0.2">
      <c r="A683" s="312" t="s">
        <v>70</v>
      </c>
      <c r="B683" s="313" t="s">
        <v>14</v>
      </c>
      <c r="C683" s="312" t="s">
        <v>202</v>
      </c>
      <c r="D683" s="314">
        <v>649</v>
      </c>
      <c r="E683" s="313" t="s">
        <v>2005</v>
      </c>
      <c r="F683" s="315" t="str">
        <f>IF(IF(A683="","",COUNTIF(CONSOLIDADO!$A:$A,$A683))=0,"REVISAR","OK")</f>
        <v>OK</v>
      </c>
    </row>
    <row r="684" spans="1:6" ht="11.45" customHeight="1" x14ac:dyDescent="0.2">
      <c r="A684" s="312" t="s">
        <v>70</v>
      </c>
      <c r="B684" s="313" t="s">
        <v>14</v>
      </c>
      <c r="C684" s="312" t="s">
        <v>202</v>
      </c>
      <c r="D684" s="314">
        <v>650</v>
      </c>
      <c r="E684" s="313" t="s">
        <v>2276</v>
      </c>
      <c r="F684" s="315" t="str">
        <f>IF(IF(A684="","",COUNTIF(CONSOLIDADO!$A:$A,$A684))=0,"REVISAR","OK")</f>
        <v>OK</v>
      </c>
    </row>
    <row r="685" spans="1:6" ht="11.45" customHeight="1" x14ac:dyDescent="0.2">
      <c r="A685" s="312" t="s">
        <v>70</v>
      </c>
      <c r="B685" s="313" t="s">
        <v>14</v>
      </c>
      <c r="C685" s="312" t="s">
        <v>202</v>
      </c>
      <c r="D685" s="314">
        <v>700</v>
      </c>
      <c r="E685" s="313" t="s">
        <v>938</v>
      </c>
      <c r="F685" s="315" t="str">
        <f>IF(IF(A685="","",COUNTIF(CONSOLIDADO!$A:$A,$A685))=0,"REVISAR","OK")</f>
        <v>OK</v>
      </c>
    </row>
    <row r="686" spans="1:6" ht="11.45" customHeight="1" x14ac:dyDescent="0.2">
      <c r="A686" s="312" t="s">
        <v>70</v>
      </c>
      <c r="B686" s="313" t="s">
        <v>14</v>
      </c>
      <c r="C686" s="312" t="s">
        <v>202</v>
      </c>
      <c r="D686" s="314">
        <v>746</v>
      </c>
      <c r="E686" s="313" t="s">
        <v>2070</v>
      </c>
      <c r="F686" s="315" t="str">
        <f>IF(IF(A686="","",COUNTIF(CONSOLIDADO!$A:$A,$A686))=0,"REVISAR","OK")</f>
        <v>OK</v>
      </c>
    </row>
    <row r="687" spans="1:6" ht="11.45" customHeight="1" x14ac:dyDescent="0.2">
      <c r="A687" s="312" t="s">
        <v>70</v>
      </c>
      <c r="B687" s="313" t="s">
        <v>14</v>
      </c>
      <c r="C687" s="312" t="s">
        <v>202</v>
      </c>
      <c r="D687" s="314">
        <v>749</v>
      </c>
      <c r="E687" s="313" t="s">
        <v>2146</v>
      </c>
      <c r="F687" s="315" t="str">
        <f>IF(IF(A687="","",COUNTIF(CONSOLIDADO!$A:$A,$A687))=0,"REVISAR","OK")</f>
        <v>OK</v>
      </c>
    </row>
    <row r="688" spans="1:6" ht="11.45" customHeight="1" x14ac:dyDescent="0.2">
      <c r="A688" s="312" t="s">
        <v>70</v>
      </c>
      <c r="B688" s="313" t="s">
        <v>14</v>
      </c>
      <c r="C688" s="312" t="s">
        <v>202</v>
      </c>
      <c r="D688" s="314">
        <v>900</v>
      </c>
      <c r="E688" s="313" t="s">
        <v>2210</v>
      </c>
      <c r="F688" s="315" t="str">
        <f>IF(IF(A688="","",COUNTIF(CONSOLIDADO!$A:$A,$A688))=0,"REVISAR","OK")</f>
        <v>OK</v>
      </c>
    </row>
    <row r="689" spans="1:6" ht="11.45" customHeight="1" x14ac:dyDescent="0.2">
      <c r="A689" s="312" t="s">
        <v>70</v>
      </c>
      <c r="B689" s="313" t="s">
        <v>14</v>
      </c>
      <c r="C689" s="312" t="s">
        <v>202</v>
      </c>
      <c r="D689" s="314">
        <v>910</v>
      </c>
      <c r="E689" s="313" t="s">
        <v>2210</v>
      </c>
      <c r="F689" s="315" t="str">
        <f>IF(IF(A689="","",COUNTIF(CONSOLIDADO!$A:$A,$A689))=0,"REVISAR","OK")</f>
        <v>OK</v>
      </c>
    </row>
    <row r="690" spans="1:6" ht="11.45" customHeight="1" x14ac:dyDescent="0.2">
      <c r="A690" s="312" t="s">
        <v>70</v>
      </c>
      <c r="B690" s="313" t="s">
        <v>14</v>
      </c>
      <c r="C690" s="312" t="s">
        <v>202</v>
      </c>
      <c r="D690" s="314">
        <v>2600</v>
      </c>
      <c r="E690" s="313" t="s">
        <v>929</v>
      </c>
      <c r="F690" s="315" t="str">
        <f>IF(IF(A690="","",COUNTIF(CONSOLIDADO!$A:$A,$A690))=0,"REVISAR","OK")</f>
        <v>OK</v>
      </c>
    </row>
    <row r="691" spans="1:6" ht="11.45" customHeight="1" x14ac:dyDescent="0.2">
      <c r="A691" s="312" t="s">
        <v>235</v>
      </c>
      <c r="B691" s="313" t="s">
        <v>1017</v>
      </c>
      <c r="C691" s="312" t="s">
        <v>111</v>
      </c>
      <c r="D691" s="314">
        <v>416</v>
      </c>
      <c r="E691" s="313" t="s">
        <v>982</v>
      </c>
      <c r="F691" s="315" t="str">
        <f>IF(IF(A691="","",COUNTIF(CONSOLIDADO!$A:$A,$A691))=0,"REVISAR","OK")</f>
        <v>OK</v>
      </c>
    </row>
    <row r="692" spans="1:6" ht="11.45" customHeight="1" x14ac:dyDescent="0.2">
      <c r="A692" s="312" t="s">
        <v>235</v>
      </c>
      <c r="B692" s="313" t="s">
        <v>1017</v>
      </c>
      <c r="C692" s="312" t="s">
        <v>111</v>
      </c>
      <c r="D692" s="314">
        <v>476</v>
      </c>
      <c r="E692" s="313" t="s">
        <v>2233</v>
      </c>
      <c r="F692" s="315" t="str">
        <f>IF(IF(A692="","",COUNTIF(CONSOLIDADO!$A:$A,$A692))=0,"REVISAR","OK")</f>
        <v>OK</v>
      </c>
    </row>
    <row r="693" spans="1:6" ht="11.45" customHeight="1" x14ac:dyDescent="0.2">
      <c r="A693" s="312" t="s">
        <v>235</v>
      </c>
      <c r="B693" s="313" t="s">
        <v>1017</v>
      </c>
      <c r="C693" s="312" t="s">
        <v>111</v>
      </c>
      <c r="D693" s="314">
        <v>500</v>
      </c>
      <c r="E693" s="313" t="s">
        <v>943</v>
      </c>
      <c r="F693" s="315" t="str">
        <f>IF(IF(A693="","",COUNTIF(CONSOLIDADO!$A:$A,$A693))=0,"REVISAR","OK")</f>
        <v>OK</v>
      </c>
    </row>
    <row r="694" spans="1:6" ht="11.45" customHeight="1" x14ac:dyDescent="0.2">
      <c r="A694" s="312" t="s">
        <v>235</v>
      </c>
      <c r="B694" s="313" t="s">
        <v>1017</v>
      </c>
      <c r="C694" s="312" t="s">
        <v>111</v>
      </c>
      <c r="D694" s="314">
        <v>535</v>
      </c>
      <c r="E694" s="313" t="s">
        <v>2258</v>
      </c>
      <c r="F694" s="315" t="str">
        <f>IF(IF(A694="","",COUNTIF(CONSOLIDADO!$A:$A,$A694))=0,"REVISAR","OK")</f>
        <v>OK</v>
      </c>
    </row>
    <row r="695" spans="1:6" ht="11.45" customHeight="1" x14ac:dyDescent="0.2">
      <c r="A695" s="312" t="s">
        <v>235</v>
      </c>
      <c r="B695" s="313" t="s">
        <v>1017</v>
      </c>
      <c r="C695" s="312" t="s">
        <v>111</v>
      </c>
      <c r="D695" s="314">
        <v>595</v>
      </c>
      <c r="E695" s="313" t="s">
        <v>2258</v>
      </c>
      <c r="F695" s="315" t="str">
        <f>IF(IF(A695="","",COUNTIF(CONSOLIDADO!$A:$A,$A695))=0,"REVISAR","OK")</f>
        <v>OK</v>
      </c>
    </row>
    <row r="696" spans="1:6" ht="11.45" customHeight="1" x14ac:dyDescent="0.2">
      <c r="A696" s="312" t="s">
        <v>235</v>
      </c>
      <c r="B696" s="313" t="s">
        <v>1017</v>
      </c>
      <c r="C696" s="312" t="s">
        <v>111</v>
      </c>
      <c r="D696" s="314">
        <v>595</v>
      </c>
      <c r="E696" s="313" t="s">
        <v>982</v>
      </c>
      <c r="F696" s="315" t="str">
        <f>IF(IF(A696="","",COUNTIF(CONSOLIDADO!$A:$A,$A696))=0,"REVISAR","OK")</f>
        <v>OK</v>
      </c>
    </row>
    <row r="697" spans="1:6" ht="11.45" customHeight="1" x14ac:dyDescent="0.2">
      <c r="A697" s="312" t="s">
        <v>235</v>
      </c>
      <c r="B697" s="313" t="s">
        <v>1017</v>
      </c>
      <c r="C697" s="312" t="s">
        <v>111</v>
      </c>
      <c r="D697" s="314">
        <v>600</v>
      </c>
      <c r="E697" s="313" t="s">
        <v>943</v>
      </c>
      <c r="F697" s="315" t="str">
        <f>IF(IF(A697="","",COUNTIF(CONSOLIDADO!$A:$A,$A697))=0,"REVISAR","OK")</f>
        <v>OK</v>
      </c>
    </row>
    <row r="698" spans="1:6" ht="11.45" customHeight="1" x14ac:dyDescent="0.2">
      <c r="A698" s="312" t="s">
        <v>235</v>
      </c>
      <c r="B698" s="313" t="s">
        <v>1017</v>
      </c>
      <c r="C698" s="312" t="s">
        <v>111</v>
      </c>
      <c r="D698" s="314">
        <v>1000</v>
      </c>
      <c r="E698" s="313" t="s">
        <v>2274</v>
      </c>
      <c r="F698" s="315" t="str">
        <f>IF(IF(A698="","",COUNTIF(CONSOLIDADO!$A:$A,$A698))=0,"REVISAR","OK")</f>
        <v>OK</v>
      </c>
    </row>
    <row r="699" spans="1:6" ht="11.45" customHeight="1" x14ac:dyDescent="0.2">
      <c r="A699" s="312" t="s">
        <v>235</v>
      </c>
      <c r="B699" s="313" t="s">
        <v>1017</v>
      </c>
      <c r="C699" s="312" t="s">
        <v>111</v>
      </c>
      <c r="D699" s="314">
        <v>1309</v>
      </c>
      <c r="E699" s="313" t="s">
        <v>935</v>
      </c>
      <c r="F699" s="315" t="str">
        <f>IF(IF(A699="","",COUNTIF(CONSOLIDADO!$A:$A,$A699))=0,"REVISAR","OK")</f>
        <v>OK</v>
      </c>
    </row>
    <row r="700" spans="1:6" ht="11.45" customHeight="1" x14ac:dyDescent="0.2">
      <c r="A700" s="312" t="s">
        <v>235</v>
      </c>
      <c r="B700" s="313" t="s">
        <v>1017</v>
      </c>
      <c r="C700" s="312" t="s">
        <v>111</v>
      </c>
      <c r="D700" s="314">
        <v>1389</v>
      </c>
      <c r="E700" s="313" t="s">
        <v>945</v>
      </c>
      <c r="F700" s="315" t="str">
        <f>IF(IF(A700="","",COUNTIF(CONSOLIDADO!$A:$A,$A700))=0,"REVISAR","OK")</f>
        <v>OK</v>
      </c>
    </row>
    <row r="701" spans="1:6" ht="11.45" customHeight="1" x14ac:dyDescent="0.2">
      <c r="A701" s="312" t="s">
        <v>235</v>
      </c>
      <c r="B701" s="313" t="s">
        <v>1017</v>
      </c>
      <c r="C701" s="312" t="s">
        <v>111</v>
      </c>
      <c r="D701" s="314">
        <v>1390</v>
      </c>
      <c r="E701" s="313" t="s">
        <v>945</v>
      </c>
      <c r="F701" s="315" t="str">
        <f>IF(IF(A701="","",COUNTIF(CONSOLIDADO!$A:$A,$A701))=0,"REVISAR","OK")</f>
        <v>OK</v>
      </c>
    </row>
    <row r="702" spans="1:6" ht="11.45" customHeight="1" x14ac:dyDescent="0.2">
      <c r="A702" s="312" t="s">
        <v>235</v>
      </c>
      <c r="B702" s="313" t="s">
        <v>1017</v>
      </c>
      <c r="C702" s="312" t="s">
        <v>111</v>
      </c>
      <c r="D702" s="314">
        <v>1780</v>
      </c>
      <c r="E702" s="313" t="s">
        <v>2238</v>
      </c>
      <c r="F702" s="315" t="str">
        <f>IF(IF(A702="","",COUNTIF(CONSOLIDADO!$A:$A,$A702))=0,"REVISAR","OK")</f>
        <v>OK</v>
      </c>
    </row>
    <row r="703" spans="1:6" ht="11.45" customHeight="1" x14ac:dyDescent="0.2">
      <c r="A703" s="312" t="s">
        <v>235</v>
      </c>
      <c r="B703" s="313" t="s">
        <v>1017</v>
      </c>
      <c r="C703" s="312" t="s">
        <v>111</v>
      </c>
      <c r="D703" s="314">
        <v>1780</v>
      </c>
      <c r="E703" s="313" t="s">
        <v>948</v>
      </c>
      <c r="F703" s="315" t="str">
        <f>IF(IF(A703="","",COUNTIF(CONSOLIDADO!$A:$A,$A703))=0,"REVISAR","OK")</f>
        <v>OK</v>
      </c>
    </row>
    <row r="704" spans="1:6" ht="11.45" customHeight="1" x14ac:dyDescent="0.2">
      <c r="A704" s="312" t="s">
        <v>235</v>
      </c>
      <c r="B704" s="313" t="s">
        <v>1017</v>
      </c>
      <c r="C704" s="312" t="s">
        <v>111</v>
      </c>
      <c r="D704" s="314">
        <v>1782</v>
      </c>
      <c r="E704" s="313" t="s">
        <v>946</v>
      </c>
      <c r="F704" s="315" t="str">
        <f>IF(IF(A704="","",COUNTIF(CONSOLIDADO!$A:$A,$A704))=0,"REVISAR","OK")</f>
        <v>OK</v>
      </c>
    </row>
    <row r="705" spans="1:6" ht="11.45" customHeight="1" x14ac:dyDescent="0.2">
      <c r="A705" s="312" t="s">
        <v>235</v>
      </c>
      <c r="B705" s="313" t="s">
        <v>1017</v>
      </c>
      <c r="C705" s="312" t="s">
        <v>111</v>
      </c>
      <c r="D705" s="314">
        <v>1783</v>
      </c>
      <c r="E705" s="313" t="s">
        <v>929</v>
      </c>
      <c r="F705" s="315" t="str">
        <f>IF(IF(A705="","",COUNTIF(CONSOLIDADO!$A:$A,$A705))=0,"REVISAR","OK")</f>
        <v>OK</v>
      </c>
    </row>
    <row r="706" spans="1:6" ht="11.45" customHeight="1" x14ac:dyDescent="0.2">
      <c r="A706" s="312" t="s">
        <v>235</v>
      </c>
      <c r="B706" s="313" t="s">
        <v>1017</v>
      </c>
      <c r="C706" s="312" t="s">
        <v>111</v>
      </c>
      <c r="D706" s="314">
        <v>1783</v>
      </c>
      <c r="E706" s="313" t="s">
        <v>2146</v>
      </c>
      <c r="F706" s="315" t="str">
        <f>IF(IF(A706="","",COUNTIF(CONSOLIDADO!$A:$A,$A706))=0,"REVISAR","OK")</f>
        <v>OK</v>
      </c>
    </row>
    <row r="707" spans="1:6" ht="11.45" customHeight="1" x14ac:dyDescent="0.2">
      <c r="A707" s="312" t="s">
        <v>235</v>
      </c>
      <c r="B707" s="313" t="s">
        <v>1017</v>
      </c>
      <c r="C707" s="312" t="s">
        <v>111</v>
      </c>
      <c r="D707" s="314">
        <v>1787</v>
      </c>
      <c r="E707" s="313" t="s">
        <v>932</v>
      </c>
      <c r="F707" s="315" t="str">
        <f>IF(IF(A707="","",COUNTIF(CONSOLIDADO!$A:$A,$A707))=0,"REVISAR","OK")</f>
        <v>OK</v>
      </c>
    </row>
    <row r="708" spans="1:6" ht="11.45" customHeight="1" x14ac:dyDescent="0.2">
      <c r="A708" s="312" t="s">
        <v>235</v>
      </c>
      <c r="B708" s="313" t="s">
        <v>1017</v>
      </c>
      <c r="C708" s="312" t="s">
        <v>111</v>
      </c>
      <c r="D708" s="314">
        <v>1793</v>
      </c>
      <c r="E708" s="313" t="s">
        <v>944</v>
      </c>
      <c r="F708" s="315" t="str">
        <f>IF(IF(A708="","",COUNTIF(CONSOLIDADO!$A:$A,$A708))=0,"REVISAR","OK")</f>
        <v>OK</v>
      </c>
    </row>
    <row r="709" spans="1:6" ht="11.45" customHeight="1" x14ac:dyDescent="0.2">
      <c r="A709" s="312" t="s">
        <v>235</v>
      </c>
      <c r="B709" s="313" t="s">
        <v>1017</v>
      </c>
      <c r="C709" s="312" t="s">
        <v>111</v>
      </c>
      <c r="D709" s="314">
        <v>1793</v>
      </c>
      <c r="E709" s="313" t="s">
        <v>948</v>
      </c>
      <c r="F709" s="315" t="str">
        <f>IF(IF(A709="","",COUNTIF(CONSOLIDADO!$A:$A,$A709))=0,"REVISAR","OK")</f>
        <v>OK</v>
      </c>
    </row>
    <row r="710" spans="1:6" ht="11.45" customHeight="1" x14ac:dyDescent="0.2">
      <c r="A710" s="312" t="s">
        <v>235</v>
      </c>
      <c r="B710" s="313" t="s">
        <v>1017</v>
      </c>
      <c r="C710" s="312" t="s">
        <v>111</v>
      </c>
      <c r="D710" s="314">
        <v>1992</v>
      </c>
      <c r="E710" s="313" t="s">
        <v>950</v>
      </c>
      <c r="F710" s="315" t="str">
        <f>IF(IF(A710="","",COUNTIF(CONSOLIDADO!$A:$A,$A710))=0,"REVISAR","OK")</f>
        <v>OK</v>
      </c>
    </row>
    <row r="711" spans="1:6" ht="11.45" customHeight="1" x14ac:dyDescent="0.2">
      <c r="A711" s="312" t="s">
        <v>235</v>
      </c>
      <c r="B711" s="313" t="s">
        <v>1017</v>
      </c>
      <c r="C711" s="312" t="s">
        <v>111</v>
      </c>
      <c r="D711" s="314">
        <v>2185</v>
      </c>
      <c r="E711" s="313" t="s">
        <v>2238</v>
      </c>
      <c r="F711" s="315" t="str">
        <f>IF(IF(A711="","",COUNTIF(CONSOLIDADO!$A:$A,$A711))=0,"REVISAR","OK")</f>
        <v>OK</v>
      </c>
    </row>
    <row r="712" spans="1:6" ht="11.45" customHeight="1" x14ac:dyDescent="0.2">
      <c r="A712" s="312" t="s">
        <v>235</v>
      </c>
      <c r="B712" s="313" t="s">
        <v>1017</v>
      </c>
      <c r="C712" s="312" t="s">
        <v>111</v>
      </c>
      <c r="D712" s="314">
        <v>2185</v>
      </c>
      <c r="E712" s="313" t="s">
        <v>2005</v>
      </c>
      <c r="F712" s="315" t="str">
        <f>IF(IF(A712="","",COUNTIF(CONSOLIDADO!$A:$A,$A712))=0,"REVISAR","OK")</f>
        <v>OK</v>
      </c>
    </row>
    <row r="713" spans="1:6" ht="11.45" customHeight="1" x14ac:dyDescent="0.2">
      <c r="A713" s="312" t="s">
        <v>235</v>
      </c>
      <c r="B713" s="313" t="s">
        <v>1017</v>
      </c>
      <c r="C713" s="312" t="s">
        <v>111</v>
      </c>
      <c r="D713" s="314">
        <v>2786</v>
      </c>
      <c r="E713" s="313" t="s">
        <v>935</v>
      </c>
      <c r="F713" s="315" t="str">
        <f>IF(IF(A713="","",COUNTIF(CONSOLIDADO!$A:$A,$A713))=0,"REVISAR","OK")</f>
        <v>OK</v>
      </c>
    </row>
    <row r="714" spans="1:6" ht="11.45" customHeight="1" x14ac:dyDescent="0.2">
      <c r="A714" s="312" t="s">
        <v>1022</v>
      </c>
      <c r="B714" s="313" t="s">
        <v>1021</v>
      </c>
      <c r="C714" s="312" t="s">
        <v>297</v>
      </c>
      <c r="D714" s="314">
        <v>9043</v>
      </c>
      <c r="E714" s="313" t="s">
        <v>946</v>
      </c>
      <c r="F714" s="315" t="str">
        <f>IF(IF(A714="","",COUNTIF(CONSOLIDADO!$A:$A,$A714))=0,"REVISAR","OK")</f>
        <v>OK</v>
      </c>
    </row>
    <row r="715" spans="1:6" ht="11.45" customHeight="1" x14ac:dyDescent="0.2">
      <c r="A715" s="312" t="s">
        <v>90</v>
      </c>
      <c r="B715" s="313" t="s">
        <v>89</v>
      </c>
      <c r="C715" s="312" t="s">
        <v>15</v>
      </c>
      <c r="D715" s="314">
        <v>892</v>
      </c>
      <c r="E715" s="313" t="s">
        <v>982</v>
      </c>
      <c r="F715" s="315" t="str">
        <f>IF(IF(A715="","",COUNTIF(CONSOLIDADO!$A:$A,$A715))=0,"REVISAR","OK")</f>
        <v>OK</v>
      </c>
    </row>
    <row r="716" spans="1:6" ht="11.45" customHeight="1" x14ac:dyDescent="0.2">
      <c r="A716" s="312" t="s">
        <v>90</v>
      </c>
      <c r="B716" s="313" t="s">
        <v>89</v>
      </c>
      <c r="C716" s="312" t="s">
        <v>15</v>
      </c>
      <c r="D716" s="314">
        <v>1071</v>
      </c>
      <c r="E716" s="313" t="s">
        <v>2233</v>
      </c>
      <c r="F716" s="315" t="str">
        <f>IF(IF(A716="","",COUNTIF(CONSOLIDADO!$A:$A,$A716))=0,"REVISAR","OK")</f>
        <v>OK</v>
      </c>
    </row>
    <row r="717" spans="1:6" ht="11.45" customHeight="1" x14ac:dyDescent="0.2">
      <c r="A717" s="312" t="s">
        <v>90</v>
      </c>
      <c r="B717" s="313" t="s">
        <v>89</v>
      </c>
      <c r="C717" s="312" t="s">
        <v>15</v>
      </c>
      <c r="D717" s="314">
        <v>1199</v>
      </c>
      <c r="E717" s="313" t="s">
        <v>2329</v>
      </c>
      <c r="F717" s="315" t="str">
        <f>IF(IF(A717="","",COUNTIF(CONSOLIDADO!$A:$A,$A717))=0,"REVISAR","OK")</f>
        <v>OK</v>
      </c>
    </row>
    <row r="718" spans="1:6" ht="11.45" customHeight="1" x14ac:dyDescent="0.2">
      <c r="A718" s="312" t="s">
        <v>90</v>
      </c>
      <c r="B718" s="313" t="s">
        <v>89</v>
      </c>
      <c r="C718" s="312" t="s">
        <v>15</v>
      </c>
      <c r="D718" s="314">
        <v>1300</v>
      </c>
      <c r="E718" s="313" t="s">
        <v>939</v>
      </c>
      <c r="F718" s="315" t="str">
        <f>IF(IF(A718="","",COUNTIF(CONSOLIDADO!$A:$A,$A718))=0,"REVISAR","OK")</f>
        <v>OK</v>
      </c>
    </row>
    <row r="719" spans="1:6" ht="11.45" customHeight="1" x14ac:dyDescent="0.2">
      <c r="A719" s="312" t="s">
        <v>90</v>
      </c>
      <c r="B719" s="313" t="s">
        <v>89</v>
      </c>
      <c r="C719" s="312" t="s">
        <v>15</v>
      </c>
      <c r="D719" s="314">
        <v>1344</v>
      </c>
      <c r="E719" s="313" t="s">
        <v>951</v>
      </c>
      <c r="F719" s="315" t="str">
        <f>IF(IF(A719="","",COUNTIF(CONSOLIDADO!$A:$A,$A719))=0,"REVISAR","OK")</f>
        <v>OK</v>
      </c>
    </row>
    <row r="720" spans="1:6" ht="11.45" customHeight="1" x14ac:dyDescent="0.2">
      <c r="A720" s="312" t="s">
        <v>90</v>
      </c>
      <c r="B720" s="313" t="s">
        <v>89</v>
      </c>
      <c r="C720" s="312" t="s">
        <v>15</v>
      </c>
      <c r="D720" s="314">
        <v>1389</v>
      </c>
      <c r="E720" s="313" t="s">
        <v>932</v>
      </c>
      <c r="F720" s="315" t="str">
        <f>IF(IF(A720="","",COUNTIF(CONSOLIDADO!$A:$A,$A720))=0,"REVISAR","OK")</f>
        <v>OK</v>
      </c>
    </row>
    <row r="721" spans="1:6" ht="11.45" customHeight="1" x14ac:dyDescent="0.2">
      <c r="A721" s="312" t="s">
        <v>90</v>
      </c>
      <c r="B721" s="313" t="s">
        <v>89</v>
      </c>
      <c r="C721" s="312" t="s">
        <v>15</v>
      </c>
      <c r="D721" s="314">
        <v>1391</v>
      </c>
      <c r="E721" s="313" t="s">
        <v>933</v>
      </c>
      <c r="F721" s="315" t="str">
        <f>IF(IF(A721="","",COUNTIF(CONSOLIDADO!$A:$A,$A721))=0,"REVISAR","OK")</f>
        <v>OK</v>
      </c>
    </row>
    <row r="722" spans="1:6" ht="11.45" customHeight="1" x14ac:dyDescent="0.2">
      <c r="A722" s="312" t="s">
        <v>90</v>
      </c>
      <c r="B722" s="313" t="s">
        <v>89</v>
      </c>
      <c r="C722" s="312" t="s">
        <v>15</v>
      </c>
      <c r="D722" s="314">
        <v>1391</v>
      </c>
      <c r="E722" s="313" t="s">
        <v>929</v>
      </c>
      <c r="F722" s="315" t="str">
        <f>IF(IF(A722="","",COUNTIF(CONSOLIDADO!$A:$A,$A722))=0,"REVISAR","OK")</f>
        <v>OK</v>
      </c>
    </row>
    <row r="723" spans="1:6" ht="11.45" customHeight="1" x14ac:dyDescent="0.2">
      <c r="A723" s="312" t="s">
        <v>90</v>
      </c>
      <c r="B723" s="313" t="s">
        <v>89</v>
      </c>
      <c r="C723" s="312" t="s">
        <v>15</v>
      </c>
      <c r="D723" s="314">
        <v>1391</v>
      </c>
      <c r="E723" s="313" t="s">
        <v>946</v>
      </c>
      <c r="F723" s="315" t="str">
        <f>IF(IF(A723="","",COUNTIF(CONSOLIDADO!$A:$A,$A723))=0,"REVISAR","OK")</f>
        <v>OK</v>
      </c>
    </row>
    <row r="724" spans="1:6" ht="11.45" customHeight="1" x14ac:dyDescent="0.2">
      <c r="A724" s="312" t="s">
        <v>90</v>
      </c>
      <c r="B724" s="313" t="s">
        <v>89</v>
      </c>
      <c r="C724" s="312" t="s">
        <v>15</v>
      </c>
      <c r="D724" s="314">
        <v>1395</v>
      </c>
      <c r="E724" s="313" t="s">
        <v>932</v>
      </c>
      <c r="F724" s="315" t="str">
        <f>IF(IF(A724="","",COUNTIF(CONSOLIDADO!$A:$A,$A724))=0,"REVISAR","OK")</f>
        <v>OK</v>
      </c>
    </row>
    <row r="725" spans="1:6" ht="11.45" customHeight="1" x14ac:dyDescent="0.2">
      <c r="A725" s="312" t="s">
        <v>90</v>
      </c>
      <c r="B725" s="313" t="s">
        <v>89</v>
      </c>
      <c r="C725" s="312" t="s">
        <v>15</v>
      </c>
      <c r="D725" s="314">
        <v>1398</v>
      </c>
      <c r="E725" s="313" t="s">
        <v>944</v>
      </c>
      <c r="F725" s="315" t="str">
        <f>IF(IF(A725="","",COUNTIF(CONSOLIDADO!$A:$A,$A725))=0,"REVISAR","OK")</f>
        <v>OK</v>
      </c>
    </row>
    <row r="726" spans="1:6" ht="11.45" customHeight="1" x14ac:dyDescent="0.2">
      <c r="A726" s="312" t="s">
        <v>90</v>
      </c>
      <c r="B726" s="313" t="s">
        <v>89</v>
      </c>
      <c r="C726" s="312" t="s">
        <v>15</v>
      </c>
      <c r="D726" s="314">
        <v>1411</v>
      </c>
      <c r="E726" s="313" t="s">
        <v>936</v>
      </c>
      <c r="F726" s="315" t="str">
        <f>IF(IF(A726="","",COUNTIF(CONSOLIDADO!$A:$A,$A726))=0,"REVISAR","OK")</f>
        <v>OK</v>
      </c>
    </row>
    <row r="727" spans="1:6" ht="11.45" customHeight="1" x14ac:dyDescent="0.2">
      <c r="A727" s="312" t="s">
        <v>90</v>
      </c>
      <c r="B727" s="313" t="s">
        <v>89</v>
      </c>
      <c r="C727" s="312" t="s">
        <v>15</v>
      </c>
      <c r="D727" s="314">
        <v>1428</v>
      </c>
      <c r="E727" s="313" t="s">
        <v>982</v>
      </c>
      <c r="F727" s="315" t="str">
        <f>IF(IF(A727="","",COUNTIF(CONSOLIDADO!$A:$A,$A727))=0,"REVISAR","OK")</f>
        <v>OK</v>
      </c>
    </row>
    <row r="728" spans="1:6" ht="11.45" customHeight="1" x14ac:dyDescent="0.2">
      <c r="A728" s="312" t="s">
        <v>90</v>
      </c>
      <c r="B728" s="313" t="s">
        <v>89</v>
      </c>
      <c r="C728" s="312" t="s">
        <v>15</v>
      </c>
      <c r="D728" s="314">
        <v>1428</v>
      </c>
      <c r="E728" s="313" t="s">
        <v>2258</v>
      </c>
      <c r="F728" s="315" t="str">
        <f>IF(IF(A728="","",COUNTIF(CONSOLIDADO!$A:$A,$A728))=0,"REVISAR","OK")</f>
        <v>OK</v>
      </c>
    </row>
    <row r="729" spans="1:6" ht="11.45" customHeight="1" x14ac:dyDescent="0.2">
      <c r="A729" s="312" t="s">
        <v>90</v>
      </c>
      <c r="B729" s="313" t="s">
        <v>89</v>
      </c>
      <c r="C729" s="312" t="s">
        <v>15</v>
      </c>
      <c r="D729" s="314">
        <v>1428</v>
      </c>
      <c r="E729" s="313" t="s">
        <v>939</v>
      </c>
      <c r="F729" s="315" t="str">
        <f>IF(IF(A729="","",COUNTIF(CONSOLIDADO!$A:$A,$A729))=0,"REVISAR","OK")</f>
        <v>OK</v>
      </c>
    </row>
    <row r="730" spans="1:6" ht="11.45" customHeight="1" x14ac:dyDescent="0.2">
      <c r="A730" s="312" t="s">
        <v>90</v>
      </c>
      <c r="B730" s="313" t="s">
        <v>89</v>
      </c>
      <c r="C730" s="312" t="s">
        <v>15</v>
      </c>
      <c r="D730" s="314">
        <v>1566</v>
      </c>
      <c r="E730" s="313" t="s">
        <v>930</v>
      </c>
      <c r="F730" s="315" t="str">
        <f>IF(IF(A730="","",COUNTIF(CONSOLIDADO!$A:$A,$A730))=0,"REVISAR","OK")</f>
        <v>OK</v>
      </c>
    </row>
    <row r="731" spans="1:6" ht="11.45" customHeight="1" x14ac:dyDescent="0.2">
      <c r="A731" s="312" t="s">
        <v>90</v>
      </c>
      <c r="B731" s="313" t="s">
        <v>89</v>
      </c>
      <c r="C731" s="312" t="s">
        <v>15</v>
      </c>
      <c r="D731" s="314">
        <v>1596</v>
      </c>
      <c r="E731" s="313" t="s">
        <v>937</v>
      </c>
      <c r="F731" s="315" t="str">
        <f>IF(IF(A731="","",COUNTIF(CONSOLIDADO!$A:$A,$A731))=0,"REVISAR","OK")</f>
        <v>OK</v>
      </c>
    </row>
    <row r="732" spans="1:6" ht="11.45" customHeight="1" x14ac:dyDescent="0.2">
      <c r="A732" s="312" t="s">
        <v>90</v>
      </c>
      <c r="B732" s="313" t="s">
        <v>89</v>
      </c>
      <c r="C732" s="312" t="s">
        <v>15</v>
      </c>
      <c r="D732" s="314">
        <v>1596</v>
      </c>
      <c r="E732" s="313" t="s">
        <v>2070</v>
      </c>
      <c r="F732" s="315" t="str">
        <f>IF(IF(A732="","",COUNTIF(CONSOLIDADO!$A:$A,$A732))=0,"REVISAR","OK")</f>
        <v>OK</v>
      </c>
    </row>
    <row r="733" spans="1:6" ht="11.45" customHeight="1" x14ac:dyDescent="0.2">
      <c r="A733" s="312" t="s">
        <v>90</v>
      </c>
      <c r="B733" s="313" t="s">
        <v>89</v>
      </c>
      <c r="C733" s="312" t="s">
        <v>15</v>
      </c>
      <c r="D733" s="314">
        <v>1596</v>
      </c>
      <c r="E733" s="313" t="s">
        <v>931</v>
      </c>
      <c r="F733" s="315" t="str">
        <f>IF(IF(A733="","",COUNTIF(CONSOLIDADO!$A:$A,$A733))=0,"REVISAR","OK")</f>
        <v>OK</v>
      </c>
    </row>
    <row r="734" spans="1:6" ht="11.45" customHeight="1" x14ac:dyDescent="0.2">
      <c r="A734" s="312" t="s">
        <v>90</v>
      </c>
      <c r="B734" s="313" t="s">
        <v>89</v>
      </c>
      <c r="C734" s="312" t="s">
        <v>15</v>
      </c>
      <c r="D734" s="314">
        <v>1596</v>
      </c>
      <c r="E734" s="313" t="s">
        <v>950</v>
      </c>
      <c r="F734" s="315" t="str">
        <f>IF(IF(A734="","",COUNTIF(CONSOLIDADO!$A:$A,$A734))=0,"REVISAR","OK")</f>
        <v>OK</v>
      </c>
    </row>
    <row r="735" spans="1:6" ht="11.45" customHeight="1" x14ac:dyDescent="0.2">
      <c r="A735" s="312" t="s">
        <v>90</v>
      </c>
      <c r="B735" s="313" t="s">
        <v>89</v>
      </c>
      <c r="C735" s="312" t="s">
        <v>15</v>
      </c>
      <c r="D735" s="314">
        <v>1599</v>
      </c>
      <c r="E735" s="313" t="s">
        <v>934</v>
      </c>
      <c r="F735" s="315" t="str">
        <f>IF(IF(A735="","",COUNTIF(CONSOLIDADO!$A:$A,$A735))=0,"REVISAR","OK")</f>
        <v>OK</v>
      </c>
    </row>
    <row r="736" spans="1:6" ht="11.45" customHeight="1" x14ac:dyDescent="0.2">
      <c r="A736" s="312" t="s">
        <v>90</v>
      </c>
      <c r="B736" s="313" t="s">
        <v>89</v>
      </c>
      <c r="C736" s="312" t="s">
        <v>15</v>
      </c>
      <c r="D736" s="314">
        <v>1650</v>
      </c>
      <c r="E736" s="313" t="s">
        <v>974</v>
      </c>
      <c r="F736" s="315" t="str">
        <f>IF(IF(A736="","",COUNTIF(CONSOLIDADO!$A:$A,$A736))=0,"REVISAR","OK")</f>
        <v>OK</v>
      </c>
    </row>
    <row r="737" spans="1:6" ht="11.45" customHeight="1" x14ac:dyDescent="0.2">
      <c r="A737" s="312" t="s">
        <v>90</v>
      </c>
      <c r="B737" s="313" t="s">
        <v>89</v>
      </c>
      <c r="C737" s="312" t="s">
        <v>15</v>
      </c>
      <c r="D737" s="314">
        <v>1650</v>
      </c>
      <c r="E737" s="313" t="s">
        <v>940</v>
      </c>
      <c r="F737" s="315" t="str">
        <f>IF(IF(A737="","",COUNTIF(CONSOLIDADO!$A:$A,$A737))=0,"REVISAR","OK")</f>
        <v>OK</v>
      </c>
    </row>
    <row r="738" spans="1:6" ht="11.45" customHeight="1" x14ac:dyDescent="0.2">
      <c r="A738" s="312" t="s">
        <v>90</v>
      </c>
      <c r="B738" s="313" t="s">
        <v>89</v>
      </c>
      <c r="C738" s="312" t="s">
        <v>15</v>
      </c>
      <c r="D738" s="314">
        <v>1700</v>
      </c>
      <c r="E738" s="313" t="s">
        <v>938</v>
      </c>
      <c r="F738" s="315" t="str">
        <f>IF(IF(A738="","",COUNTIF(CONSOLIDADO!$A:$A,$A738))=0,"REVISAR","OK")</f>
        <v>OK</v>
      </c>
    </row>
    <row r="739" spans="1:6" ht="11.45" customHeight="1" x14ac:dyDescent="0.2">
      <c r="A739" s="312" t="s">
        <v>90</v>
      </c>
      <c r="B739" s="313" t="s">
        <v>89</v>
      </c>
      <c r="C739" s="312" t="s">
        <v>15</v>
      </c>
      <c r="D739" s="314">
        <v>1725</v>
      </c>
      <c r="E739" s="313" t="s">
        <v>999</v>
      </c>
      <c r="F739" s="315" t="str">
        <f>IF(IF(A739="","",COUNTIF(CONSOLIDADO!$A:$A,$A739))=0,"REVISAR","OK")</f>
        <v>OK</v>
      </c>
    </row>
    <row r="740" spans="1:6" ht="11.45" customHeight="1" x14ac:dyDescent="0.2">
      <c r="A740" s="312" t="s">
        <v>90</v>
      </c>
      <c r="B740" s="313" t="s">
        <v>89</v>
      </c>
      <c r="C740" s="312" t="s">
        <v>15</v>
      </c>
      <c r="D740" s="314">
        <v>1750</v>
      </c>
      <c r="E740" s="313" t="s">
        <v>938</v>
      </c>
      <c r="F740" s="315" t="str">
        <f>IF(IF(A740="","",COUNTIF(CONSOLIDADO!$A:$A,$A740))=0,"REVISAR","OK")</f>
        <v>OK</v>
      </c>
    </row>
    <row r="741" spans="1:6" ht="11.45" customHeight="1" x14ac:dyDescent="0.2">
      <c r="A741" s="312" t="s">
        <v>90</v>
      </c>
      <c r="B741" s="313" t="s">
        <v>89</v>
      </c>
      <c r="C741" s="312" t="s">
        <v>15</v>
      </c>
      <c r="D741" s="314">
        <v>1789</v>
      </c>
      <c r="E741" s="313" t="s">
        <v>945</v>
      </c>
      <c r="F741" s="315" t="str">
        <f>IF(IF(A741="","",COUNTIF(CONSOLIDADO!$A:$A,$A741))=0,"REVISAR","OK")</f>
        <v>OK</v>
      </c>
    </row>
    <row r="742" spans="1:6" ht="11.45" customHeight="1" x14ac:dyDescent="0.2">
      <c r="A742" s="312" t="s">
        <v>90</v>
      </c>
      <c r="B742" s="313" t="s">
        <v>89</v>
      </c>
      <c r="C742" s="312" t="s">
        <v>15</v>
      </c>
      <c r="D742" s="314">
        <v>1791</v>
      </c>
      <c r="E742" s="313" t="s">
        <v>2146</v>
      </c>
      <c r="F742" s="315" t="str">
        <f>IF(IF(A742="","",COUNTIF(CONSOLIDADO!$A:$A,$A742))=0,"REVISAR","OK")</f>
        <v>OK</v>
      </c>
    </row>
    <row r="743" spans="1:6" ht="11.45" customHeight="1" x14ac:dyDescent="0.2">
      <c r="A743" s="312" t="s">
        <v>90</v>
      </c>
      <c r="B743" s="313" t="s">
        <v>89</v>
      </c>
      <c r="C743" s="312" t="s">
        <v>15</v>
      </c>
      <c r="D743" s="314">
        <v>1874</v>
      </c>
      <c r="E743" s="313" t="s">
        <v>948</v>
      </c>
      <c r="F743" s="315" t="str">
        <f>IF(IF(A743="","",COUNTIF(CONSOLIDADO!$A:$A,$A743))=0,"REVISAR","OK")</f>
        <v>OK</v>
      </c>
    </row>
    <row r="744" spans="1:6" ht="11.45" customHeight="1" x14ac:dyDescent="0.2">
      <c r="A744" s="312" t="s">
        <v>90</v>
      </c>
      <c r="B744" s="313" t="s">
        <v>89</v>
      </c>
      <c r="C744" s="312" t="s">
        <v>15</v>
      </c>
      <c r="D744" s="314">
        <v>1874</v>
      </c>
      <c r="E744" s="313" t="s">
        <v>2146</v>
      </c>
      <c r="F744" s="315" t="str">
        <f>IF(IF(A744="","",COUNTIF(CONSOLIDADO!$A:$A,$A744))=0,"REVISAR","OK")</f>
        <v>OK</v>
      </c>
    </row>
    <row r="745" spans="1:6" ht="11.45" customHeight="1" x14ac:dyDescent="0.2">
      <c r="A745" s="312" t="s">
        <v>90</v>
      </c>
      <c r="B745" s="313" t="s">
        <v>89</v>
      </c>
      <c r="C745" s="312" t="s">
        <v>15</v>
      </c>
      <c r="D745" s="314">
        <v>1875</v>
      </c>
      <c r="E745" s="313" t="s">
        <v>2146</v>
      </c>
      <c r="F745" s="315" t="str">
        <f>IF(IF(A745="","",COUNTIF(CONSOLIDADO!$A:$A,$A745))=0,"REVISAR","OK")</f>
        <v>OK</v>
      </c>
    </row>
    <row r="746" spans="1:6" ht="11.45" customHeight="1" x14ac:dyDescent="0.2">
      <c r="A746" s="312" t="s">
        <v>90</v>
      </c>
      <c r="B746" s="313" t="s">
        <v>89</v>
      </c>
      <c r="C746" s="312" t="s">
        <v>15</v>
      </c>
      <c r="D746" s="314">
        <v>1875</v>
      </c>
      <c r="E746" s="313" t="s">
        <v>2146</v>
      </c>
      <c r="F746" s="315" t="str">
        <f>IF(IF(A746="","",COUNTIF(CONSOLIDADO!$A:$A,$A746))=0,"REVISAR","OK")</f>
        <v>OK</v>
      </c>
    </row>
    <row r="747" spans="1:6" ht="11.45" customHeight="1" x14ac:dyDescent="0.2">
      <c r="A747" s="312" t="s">
        <v>90</v>
      </c>
      <c r="B747" s="313" t="s">
        <v>89</v>
      </c>
      <c r="C747" s="312" t="s">
        <v>15</v>
      </c>
      <c r="D747" s="314">
        <v>1875</v>
      </c>
      <c r="E747" s="313" t="s">
        <v>2005</v>
      </c>
      <c r="F747" s="315" t="str">
        <f>IF(IF(A747="","",COUNTIF(CONSOLIDADO!$A:$A,$A747))=0,"REVISAR","OK")</f>
        <v>OK</v>
      </c>
    </row>
    <row r="748" spans="1:6" ht="11.45" customHeight="1" x14ac:dyDescent="0.2">
      <c r="A748" s="312" t="s">
        <v>90</v>
      </c>
      <c r="B748" s="313" t="s">
        <v>89</v>
      </c>
      <c r="C748" s="312" t="s">
        <v>15</v>
      </c>
      <c r="D748" s="314">
        <v>1875</v>
      </c>
      <c r="E748" s="313" t="s">
        <v>948</v>
      </c>
      <c r="F748" s="315" t="str">
        <f>IF(IF(A748="","",COUNTIF(CONSOLIDADO!$A:$A,$A748))=0,"REVISAR","OK")</f>
        <v>OK</v>
      </c>
    </row>
    <row r="749" spans="1:6" ht="11.45" customHeight="1" x14ac:dyDescent="0.2">
      <c r="A749" s="312" t="s">
        <v>90</v>
      </c>
      <c r="B749" s="313" t="s">
        <v>89</v>
      </c>
      <c r="C749" s="312" t="s">
        <v>15</v>
      </c>
      <c r="D749" s="314">
        <v>1875</v>
      </c>
      <c r="E749" s="313" t="s">
        <v>935</v>
      </c>
      <c r="F749" s="315" t="str">
        <f>IF(IF(A749="","",COUNTIF(CONSOLIDADO!$A:$A,$A749))=0,"REVISAR","OK")</f>
        <v>OK</v>
      </c>
    </row>
    <row r="750" spans="1:6" ht="11.45" customHeight="1" x14ac:dyDescent="0.2">
      <c r="A750" s="312" t="s">
        <v>90</v>
      </c>
      <c r="B750" s="313" t="s">
        <v>89</v>
      </c>
      <c r="C750" s="312" t="s">
        <v>15</v>
      </c>
      <c r="D750" s="314">
        <v>1876</v>
      </c>
      <c r="E750" s="313" t="s">
        <v>948</v>
      </c>
      <c r="F750" s="315" t="str">
        <f>IF(IF(A750="","",COUNTIF(CONSOLIDADO!$A:$A,$A750))=0,"REVISAR","OK")</f>
        <v>OK</v>
      </c>
    </row>
    <row r="751" spans="1:6" ht="11.45" customHeight="1" x14ac:dyDescent="0.2">
      <c r="A751" s="312" t="s">
        <v>90</v>
      </c>
      <c r="B751" s="313" t="s">
        <v>89</v>
      </c>
      <c r="C751" s="312" t="s">
        <v>15</v>
      </c>
      <c r="D751" s="314">
        <v>1904</v>
      </c>
      <c r="E751" s="313" t="s">
        <v>935</v>
      </c>
      <c r="F751" s="315" t="str">
        <f>IF(IF(A751="","",COUNTIF(CONSOLIDADO!$A:$A,$A751))=0,"REVISAR","OK")</f>
        <v>OK</v>
      </c>
    </row>
    <row r="752" spans="1:6" ht="11.45" customHeight="1" x14ac:dyDescent="0.2">
      <c r="A752" s="312" t="s">
        <v>90</v>
      </c>
      <c r="B752" s="313" t="s">
        <v>89</v>
      </c>
      <c r="C752" s="312" t="s">
        <v>15</v>
      </c>
      <c r="D752" s="314">
        <v>2000</v>
      </c>
      <c r="E752" s="313" t="s">
        <v>938</v>
      </c>
      <c r="F752" s="315" t="str">
        <f>IF(IF(A752="","",COUNTIF(CONSOLIDADO!$A:$A,$A752))=0,"REVISAR","OK")</f>
        <v>OK</v>
      </c>
    </row>
    <row r="753" spans="1:6" ht="11.45" customHeight="1" x14ac:dyDescent="0.2">
      <c r="A753" s="312" t="s">
        <v>90</v>
      </c>
      <c r="B753" s="313" t="s">
        <v>89</v>
      </c>
      <c r="C753" s="312" t="s">
        <v>15</v>
      </c>
      <c r="D753" s="314">
        <v>2000</v>
      </c>
      <c r="E753" s="313" t="s">
        <v>2210</v>
      </c>
      <c r="F753" s="315" t="str">
        <f>IF(IF(A753="","",COUNTIF(CONSOLIDADO!$A:$A,$A753))=0,"REVISAR","OK")</f>
        <v>OK</v>
      </c>
    </row>
    <row r="754" spans="1:6" ht="11.45" customHeight="1" x14ac:dyDescent="0.2">
      <c r="A754" s="312" t="s">
        <v>90</v>
      </c>
      <c r="B754" s="313" t="s">
        <v>89</v>
      </c>
      <c r="C754" s="312" t="s">
        <v>15</v>
      </c>
      <c r="D754" s="314">
        <v>2000</v>
      </c>
      <c r="E754" s="313" t="s">
        <v>943</v>
      </c>
      <c r="F754" s="315" t="str">
        <f>IF(IF(A754="","",COUNTIF(CONSOLIDADO!$A:$A,$A754))=0,"REVISAR","OK")</f>
        <v>OK</v>
      </c>
    </row>
    <row r="755" spans="1:6" ht="11.45" customHeight="1" x14ac:dyDescent="0.2">
      <c r="A755" s="312" t="s">
        <v>90</v>
      </c>
      <c r="B755" s="313" t="s">
        <v>89</v>
      </c>
      <c r="C755" s="312" t="s">
        <v>15</v>
      </c>
      <c r="D755" s="314">
        <v>2000</v>
      </c>
      <c r="E755" s="313" t="s">
        <v>2211</v>
      </c>
      <c r="F755" s="315" t="str">
        <f>IF(IF(A755="","",COUNTIF(CONSOLIDADO!$A:$A,$A755))=0,"REVISAR","OK")</f>
        <v>OK</v>
      </c>
    </row>
    <row r="756" spans="1:6" ht="11.45" customHeight="1" x14ac:dyDescent="0.2">
      <c r="A756" s="312" t="s">
        <v>90</v>
      </c>
      <c r="B756" s="313" t="s">
        <v>89</v>
      </c>
      <c r="C756" s="312" t="s">
        <v>15</v>
      </c>
      <c r="D756" s="314">
        <v>2020</v>
      </c>
      <c r="E756" s="313" t="s">
        <v>2210</v>
      </c>
      <c r="F756" s="315" t="str">
        <f>IF(IF(A756="","",COUNTIF(CONSOLIDADO!$A:$A,$A756))=0,"REVISAR","OK")</f>
        <v>OK</v>
      </c>
    </row>
    <row r="757" spans="1:6" ht="11.45" customHeight="1" x14ac:dyDescent="0.2">
      <c r="A757" s="312" t="s">
        <v>90</v>
      </c>
      <c r="B757" s="313" t="s">
        <v>89</v>
      </c>
      <c r="C757" s="312" t="s">
        <v>15</v>
      </c>
      <c r="D757" s="314">
        <v>4400</v>
      </c>
      <c r="E757" s="313" t="s">
        <v>2232</v>
      </c>
      <c r="F757" s="315" t="str">
        <f>IF(IF(A757="","",COUNTIF(CONSOLIDADO!$A:$A,$A757))=0,"REVISAR","OK")</f>
        <v>OK</v>
      </c>
    </row>
    <row r="758" spans="1:6" ht="11.45" customHeight="1" x14ac:dyDescent="0.2">
      <c r="A758" s="312" t="s">
        <v>848</v>
      </c>
      <c r="B758" s="313" t="s">
        <v>1023</v>
      </c>
      <c r="C758" s="312" t="s">
        <v>1007</v>
      </c>
      <c r="D758" s="314">
        <v>1080</v>
      </c>
      <c r="E758" s="313" t="s">
        <v>948</v>
      </c>
      <c r="F758" s="315" t="str">
        <f>IF(IF(A758="","",COUNTIF(CONSOLIDADO!$A:$A,$A758))=0,"REVISAR","OK")</f>
        <v>OK</v>
      </c>
    </row>
    <row r="759" spans="1:6" ht="11.45" customHeight="1" x14ac:dyDescent="0.2">
      <c r="A759" s="312" t="s">
        <v>848</v>
      </c>
      <c r="B759" s="313" t="s">
        <v>1023</v>
      </c>
      <c r="C759" s="312" t="s">
        <v>1007</v>
      </c>
      <c r="D759" s="314">
        <v>1890</v>
      </c>
      <c r="E759" s="313" t="s">
        <v>2146</v>
      </c>
      <c r="F759" s="315" t="str">
        <f>IF(IF(A759="","",COUNTIF(CONSOLIDADO!$A:$A,$A759))=0,"REVISAR","OK")</f>
        <v>OK</v>
      </c>
    </row>
    <row r="760" spans="1:6" ht="11.45" customHeight="1" x14ac:dyDescent="0.2">
      <c r="A760" s="312" t="s">
        <v>848</v>
      </c>
      <c r="B760" s="313" t="s">
        <v>1023</v>
      </c>
      <c r="C760" s="312" t="s">
        <v>1007</v>
      </c>
      <c r="D760" s="314">
        <v>3986</v>
      </c>
      <c r="E760" s="313" t="s">
        <v>2275</v>
      </c>
      <c r="F760" s="315" t="str">
        <f>IF(IF(A760="","",COUNTIF(CONSOLIDADO!$A:$A,$A760))=0,"REVISAR","OK")</f>
        <v>OK</v>
      </c>
    </row>
    <row r="761" spans="1:6" ht="11.45" customHeight="1" x14ac:dyDescent="0.2">
      <c r="A761" s="312" t="s">
        <v>380</v>
      </c>
      <c r="B761" s="313" t="s">
        <v>381</v>
      </c>
      <c r="C761" s="312" t="s">
        <v>15</v>
      </c>
      <c r="D761" s="314">
        <v>2380</v>
      </c>
      <c r="E761" s="313" t="s">
        <v>946</v>
      </c>
      <c r="F761" s="315" t="str">
        <f>IF(IF(A761="","",COUNTIF(CONSOLIDADO!$A:$A,$A761))=0,"REVISAR","OK")</f>
        <v>OK</v>
      </c>
    </row>
    <row r="762" spans="1:6" ht="11.45" customHeight="1" x14ac:dyDescent="0.2">
      <c r="A762" s="312" t="s">
        <v>380</v>
      </c>
      <c r="B762" s="313" t="s">
        <v>381</v>
      </c>
      <c r="C762" s="312" t="s">
        <v>15</v>
      </c>
      <c r="D762" s="314">
        <v>2699</v>
      </c>
      <c r="E762" s="313" t="s">
        <v>2005</v>
      </c>
      <c r="F762" s="315" t="str">
        <f>IF(IF(A762="","",COUNTIF(CONSOLIDADO!$A:$A,$A762))=0,"REVISAR","OK")</f>
        <v>OK</v>
      </c>
    </row>
    <row r="763" spans="1:6" ht="11.45" customHeight="1" x14ac:dyDescent="0.2">
      <c r="A763" s="312" t="s">
        <v>380</v>
      </c>
      <c r="B763" s="313" t="s">
        <v>381</v>
      </c>
      <c r="C763" s="312" t="s">
        <v>15</v>
      </c>
      <c r="D763" s="314">
        <v>2856</v>
      </c>
      <c r="E763" s="313" t="s">
        <v>982</v>
      </c>
      <c r="F763" s="315" t="str">
        <f>IF(IF(A763="","",COUNTIF(CONSOLIDADO!$A:$A,$A763))=0,"REVISAR","OK")</f>
        <v>OK</v>
      </c>
    </row>
    <row r="764" spans="1:6" ht="11.45" customHeight="1" x14ac:dyDescent="0.2">
      <c r="A764" s="312" t="s">
        <v>852</v>
      </c>
      <c r="B764" s="313" t="s">
        <v>339</v>
      </c>
      <c r="C764" s="312" t="s">
        <v>15</v>
      </c>
      <c r="D764" s="314">
        <v>2590</v>
      </c>
      <c r="E764" s="313" t="s">
        <v>949</v>
      </c>
      <c r="F764" s="315" t="str">
        <f>IF(IF(A764="","",COUNTIF(CONSOLIDADO!$A:$A,$A764))=0,"REVISAR","OK")</f>
        <v>OK</v>
      </c>
    </row>
    <row r="765" spans="1:6" ht="11.45" customHeight="1" x14ac:dyDescent="0.2">
      <c r="A765" s="312" t="s">
        <v>159</v>
      </c>
      <c r="B765" s="313" t="s">
        <v>158</v>
      </c>
      <c r="C765" s="312" t="s">
        <v>111</v>
      </c>
      <c r="D765" s="314">
        <v>1079</v>
      </c>
      <c r="E765" s="313" t="s">
        <v>2233</v>
      </c>
      <c r="F765" s="315" t="str">
        <f>IF(IF(A765="","",COUNTIF(CONSOLIDADO!$A:$A,$A765))=0,"REVISAR","OK")</f>
        <v>OK</v>
      </c>
    </row>
    <row r="766" spans="1:6" ht="11.45" customHeight="1" x14ac:dyDescent="0.2">
      <c r="A766" s="312" t="s">
        <v>159</v>
      </c>
      <c r="B766" s="313" t="s">
        <v>158</v>
      </c>
      <c r="C766" s="312" t="s">
        <v>111</v>
      </c>
      <c r="D766" s="314">
        <v>1758</v>
      </c>
      <c r="E766" s="313" t="s">
        <v>950</v>
      </c>
      <c r="F766" s="315" t="str">
        <f>IF(IF(A766="","",COUNTIF(CONSOLIDADO!$A:$A,$A766))=0,"REVISAR","OK")</f>
        <v>OK</v>
      </c>
    </row>
    <row r="767" spans="1:6" ht="11.45" customHeight="1" x14ac:dyDescent="0.2">
      <c r="A767" s="312" t="s">
        <v>159</v>
      </c>
      <c r="B767" s="313" t="s">
        <v>158</v>
      </c>
      <c r="C767" s="312" t="s">
        <v>111</v>
      </c>
      <c r="D767" s="314">
        <v>1785</v>
      </c>
      <c r="E767" s="313" t="s">
        <v>982</v>
      </c>
      <c r="F767" s="315" t="str">
        <f>IF(IF(A767="","",COUNTIF(CONSOLIDADO!$A:$A,$A767))=0,"REVISAR","OK")</f>
        <v>OK</v>
      </c>
    </row>
    <row r="768" spans="1:6" ht="11.45" customHeight="1" x14ac:dyDescent="0.2">
      <c r="A768" s="312" t="s">
        <v>159</v>
      </c>
      <c r="B768" s="313" t="s">
        <v>158</v>
      </c>
      <c r="C768" s="312" t="s">
        <v>111</v>
      </c>
      <c r="D768" s="314">
        <v>1785</v>
      </c>
      <c r="E768" s="313" t="s">
        <v>976</v>
      </c>
      <c r="F768" s="315" t="str">
        <f>IF(IF(A768="","",COUNTIF(CONSOLIDADO!$A:$A,$A768))=0,"REVISAR","OK")</f>
        <v>OK</v>
      </c>
    </row>
    <row r="769" spans="1:6" ht="11.45" customHeight="1" x14ac:dyDescent="0.2">
      <c r="A769" s="312" t="s">
        <v>159</v>
      </c>
      <c r="B769" s="313" t="s">
        <v>158</v>
      </c>
      <c r="C769" s="312" t="s">
        <v>111</v>
      </c>
      <c r="D769" s="314">
        <v>1904</v>
      </c>
      <c r="E769" s="313" t="s">
        <v>938</v>
      </c>
      <c r="F769" s="315" t="str">
        <f>IF(IF(A769="","",COUNTIF(CONSOLIDADO!$A:$A,$A769))=0,"REVISAR","OK")</f>
        <v>OK</v>
      </c>
    </row>
    <row r="770" spans="1:6" ht="11.45" customHeight="1" x14ac:dyDescent="0.2">
      <c r="A770" s="312" t="s">
        <v>159</v>
      </c>
      <c r="B770" s="313" t="s">
        <v>158</v>
      </c>
      <c r="C770" s="312" t="s">
        <v>111</v>
      </c>
      <c r="D770" s="314">
        <v>2000</v>
      </c>
      <c r="E770" s="313" t="s">
        <v>2274</v>
      </c>
      <c r="F770" s="315" t="str">
        <f>IF(IF(A770="","",COUNTIF(CONSOLIDADO!$A:$A,$A770))=0,"REVISAR","OK")</f>
        <v>OK</v>
      </c>
    </row>
    <row r="771" spans="1:6" ht="11.45" customHeight="1" x14ac:dyDescent="0.2">
      <c r="A771" s="312" t="s">
        <v>159</v>
      </c>
      <c r="B771" s="313" t="s">
        <v>158</v>
      </c>
      <c r="C771" s="312" t="s">
        <v>111</v>
      </c>
      <c r="D771" s="314">
        <v>2399</v>
      </c>
      <c r="E771" s="313" t="s">
        <v>937</v>
      </c>
      <c r="F771" s="315" t="str">
        <f>IF(IF(A771="","",COUNTIF(CONSOLIDADO!$A:$A,$A771))=0,"REVISAR","OK")</f>
        <v>OK</v>
      </c>
    </row>
    <row r="772" spans="1:6" ht="11.45" customHeight="1" x14ac:dyDescent="0.2">
      <c r="A772" s="312" t="s">
        <v>159</v>
      </c>
      <c r="B772" s="313" t="s">
        <v>158</v>
      </c>
      <c r="C772" s="312" t="s">
        <v>111</v>
      </c>
      <c r="D772" s="314">
        <v>2399</v>
      </c>
      <c r="E772" s="313" t="s">
        <v>2005</v>
      </c>
      <c r="F772" s="315" t="str">
        <f>IF(IF(A772="","",COUNTIF(CONSOLIDADO!$A:$A,$A772))=0,"REVISAR","OK")</f>
        <v>OK</v>
      </c>
    </row>
    <row r="773" spans="1:6" ht="11.45" customHeight="1" x14ac:dyDescent="0.2">
      <c r="A773" s="312" t="s">
        <v>159</v>
      </c>
      <c r="B773" s="313" t="s">
        <v>158</v>
      </c>
      <c r="C773" s="312" t="s">
        <v>111</v>
      </c>
      <c r="D773" s="314">
        <v>2490</v>
      </c>
      <c r="E773" s="313" t="s">
        <v>930</v>
      </c>
      <c r="F773" s="315" t="str">
        <f>IF(IF(A773="","",COUNTIF(CONSOLIDADO!$A:$A,$A773))=0,"REVISAR","OK")</f>
        <v>OK</v>
      </c>
    </row>
    <row r="774" spans="1:6" ht="11.45" customHeight="1" x14ac:dyDescent="0.2">
      <c r="A774" s="312" t="s">
        <v>159</v>
      </c>
      <c r="B774" s="313" t="s">
        <v>158</v>
      </c>
      <c r="C774" s="312" t="s">
        <v>111</v>
      </c>
      <c r="D774" s="314">
        <v>2900</v>
      </c>
      <c r="E774" s="313" t="s">
        <v>2258</v>
      </c>
      <c r="F774" s="315" t="str">
        <f>IF(IF(A774="","",COUNTIF(CONSOLIDADO!$A:$A,$A774))=0,"REVISAR","OK")</f>
        <v>OK</v>
      </c>
    </row>
    <row r="775" spans="1:6" ht="11.45" customHeight="1" x14ac:dyDescent="0.2">
      <c r="A775" s="312" t="s">
        <v>159</v>
      </c>
      <c r="B775" s="313" t="s">
        <v>158</v>
      </c>
      <c r="C775" s="312" t="s">
        <v>111</v>
      </c>
      <c r="D775" s="314">
        <v>4900</v>
      </c>
      <c r="E775" s="313" t="s">
        <v>2232</v>
      </c>
      <c r="F775" s="315" t="str">
        <f>IF(IF(A775="","",COUNTIF(CONSOLIDADO!$A:$A,$A775))=0,"REVISAR","OK")</f>
        <v>OK</v>
      </c>
    </row>
    <row r="776" spans="1:6" ht="11.45" customHeight="1" x14ac:dyDescent="0.2">
      <c r="A776" s="312" t="s">
        <v>1029</v>
      </c>
      <c r="B776" s="313" t="s">
        <v>484</v>
      </c>
      <c r="C776" s="312" t="s">
        <v>15</v>
      </c>
      <c r="D776" s="314">
        <v>980</v>
      </c>
      <c r="E776" s="313" t="s">
        <v>2276</v>
      </c>
      <c r="F776" s="315" t="str">
        <f>IF(IF(A776="","",COUNTIF(CONSOLIDADO!$A:$A,$A776))=0,"REVISAR","OK")</f>
        <v>OK</v>
      </c>
    </row>
    <row r="777" spans="1:6" ht="11.45" customHeight="1" x14ac:dyDescent="0.2">
      <c r="A777" s="312" t="s">
        <v>637</v>
      </c>
      <c r="B777" s="313" t="s">
        <v>100</v>
      </c>
      <c r="C777" s="312" t="s">
        <v>15</v>
      </c>
      <c r="D777" s="314">
        <v>6490</v>
      </c>
      <c r="E777" s="313" t="s">
        <v>2176</v>
      </c>
      <c r="F777" s="315" t="str">
        <f>IF(IF(A777="","",COUNTIF(CONSOLIDADO!$A:$A,$A777))=0,"REVISAR","OK")</f>
        <v>OK</v>
      </c>
    </row>
    <row r="778" spans="1:6" ht="11.45" customHeight="1" x14ac:dyDescent="0.2">
      <c r="A778" s="312" t="s">
        <v>637</v>
      </c>
      <c r="B778" s="313" t="s">
        <v>100</v>
      </c>
      <c r="C778" s="312" t="s">
        <v>15</v>
      </c>
      <c r="D778" s="314">
        <v>8092</v>
      </c>
      <c r="E778" s="313" t="s">
        <v>2258</v>
      </c>
      <c r="F778" s="315" t="str">
        <f>IF(IF(A778="","",COUNTIF(CONSOLIDADO!$A:$A,$A778))=0,"REVISAR","OK")</f>
        <v>OK</v>
      </c>
    </row>
    <row r="779" spans="1:6" ht="11.45" customHeight="1" x14ac:dyDescent="0.2">
      <c r="A779" s="312" t="s">
        <v>857</v>
      </c>
      <c r="B779" s="313" t="s">
        <v>596</v>
      </c>
      <c r="C779" s="312" t="s">
        <v>111</v>
      </c>
      <c r="D779" s="314">
        <v>3100</v>
      </c>
      <c r="E779" s="313" t="s">
        <v>2073</v>
      </c>
      <c r="F779" s="315" t="str">
        <f>IF(IF(A779="","",COUNTIF(CONSOLIDADO!$A:$A,$A779))=0,"REVISAR","OK")</f>
        <v>OK</v>
      </c>
    </row>
    <row r="780" spans="1:6" ht="11.45" customHeight="1" x14ac:dyDescent="0.2">
      <c r="A780" s="312" t="s">
        <v>857</v>
      </c>
      <c r="B780" s="313" t="s">
        <v>596</v>
      </c>
      <c r="C780" s="312" t="s">
        <v>111</v>
      </c>
      <c r="D780" s="314">
        <v>3550</v>
      </c>
      <c r="E780" s="313" t="s">
        <v>936</v>
      </c>
      <c r="F780" s="315" t="str">
        <f>IF(IF(A780="","",COUNTIF(CONSOLIDADO!$A:$A,$A780))=0,"REVISAR","OK")</f>
        <v>OK</v>
      </c>
    </row>
    <row r="781" spans="1:6" ht="11.45" customHeight="1" x14ac:dyDescent="0.2">
      <c r="A781" s="312" t="s">
        <v>71</v>
      </c>
      <c r="B781" s="313" t="s">
        <v>39</v>
      </c>
      <c r="C781" s="312" t="s">
        <v>906</v>
      </c>
      <c r="D781" s="314">
        <v>630</v>
      </c>
      <c r="E781" s="313" t="s">
        <v>2297</v>
      </c>
      <c r="F781" s="315" t="str">
        <f>IF(IF(A781="","",COUNTIF(CONSOLIDADO!$A:$A,$A781))=0,"REVISAR","OK")</f>
        <v>OK</v>
      </c>
    </row>
    <row r="782" spans="1:6" ht="11.45" customHeight="1" x14ac:dyDescent="0.2">
      <c r="A782" s="312" t="s">
        <v>71</v>
      </c>
      <c r="B782" s="313" t="s">
        <v>39</v>
      </c>
      <c r="C782" s="312" t="s">
        <v>906</v>
      </c>
      <c r="D782" s="314">
        <v>697</v>
      </c>
      <c r="E782" s="313" t="s">
        <v>951</v>
      </c>
      <c r="F782" s="315" t="str">
        <f>IF(IF(A782="","",COUNTIF(CONSOLIDADO!$A:$A,$A782))=0,"REVISAR","OK")</f>
        <v>OK</v>
      </c>
    </row>
    <row r="783" spans="1:6" ht="11.45" customHeight="1" x14ac:dyDescent="0.2">
      <c r="A783" s="312" t="s">
        <v>71</v>
      </c>
      <c r="B783" s="313" t="s">
        <v>39</v>
      </c>
      <c r="C783" s="312" t="s">
        <v>906</v>
      </c>
      <c r="D783" s="314">
        <v>840</v>
      </c>
      <c r="E783" s="313" t="s">
        <v>930</v>
      </c>
      <c r="F783" s="315" t="str">
        <f>IF(IF(A783="","",COUNTIF(CONSOLIDADO!$A:$A,$A783))=0,"REVISAR","OK")</f>
        <v>OK</v>
      </c>
    </row>
    <row r="784" spans="1:6" ht="11.45" customHeight="1" x14ac:dyDescent="0.2">
      <c r="A784" s="312" t="s">
        <v>71</v>
      </c>
      <c r="B784" s="313" t="s">
        <v>39</v>
      </c>
      <c r="C784" s="312" t="s">
        <v>906</v>
      </c>
      <c r="D784" s="314">
        <v>845</v>
      </c>
      <c r="E784" s="313" t="s">
        <v>2073</v>
      </c>
      <c r="F784" s="315" t="str">
        <f>IF(IF(A784="","",COUNTIF(CONSOLIDADO!$A:$A,$A784))=0,"REVISAR","OK")</f>
        <v>OK</v>
      </c>
    </row>
    <row r="785" spans="1:6" ht="11.45" customHeight="1" x14ac:dyDescent="0.2">
      <c r="A785" s="312" t="s">
        <v>71</v>
      </c>
      <c r="B785" s="313" t="s">
        <v>39</v>
      </c>
      <c r="C785" s="312" t="s">
        <v>906</v>
      </c>
      <c r="D785" s="314">
        <v>949</v>
      </c>
      <c r="E785" s="313" t="s">
        <v>944</v>
      </c>
      <c r="F785" s="315" t="str">
        <f>IF(IF(A785="","",COUNTIF(CONSOLIDADO!$A:$A,$A785))=0,"REVISAR","OK")</f>
        <v>OK</v>
      </c>
    </row>
    <row r="786" spans="1:6" ht="11.45" customHeight="1" x14ac:dyDescent="0.2">
      <c r="A786" s="312" t="s">
        <v>71</v>
      </c>
      <c r="B786" s="313" t="s">
        <v>39</v>
      </c>
      <c r="C786" s="312" t="s">
        <v>906</v>
      </c>
      <c r="D786" s="314">
        <v>1275</v>
      </c>
      <c r="E786" s="313" t="s">
        <v>932</v>
      </c>
      <c r="F786" s="315" t="str">
        <f>IF(IF(A786="","",COUNTIF(CONSOLIDADO!$A:$A,$A786))=0,"REVISAR","OK")</f>
        <v>OK</v>
      </c>
    </row>
    <row r="787" spans="1:6" ht="11.45" customHeight="1" x14ac:dyDescent="0.2">
      <c r="A787" s="312" t="s">
        <v>71</v>
      </c>
      <c r="B787" s="313" t="s">
        <v>39</v>
      </c>
      <c r="C787" s="312" t="s">
        <v>906</v>
      </c>
      <c r="D787" s="314">
        <v>1275</v>
      </c>
      <c r="E787" s="313" t="s">
        <v>929</v>
      </c>
      <c r="F787" s="315" t="str">
        <f>IF(IF(A787="","",COUNTIF(CONSOLIDADO!$A:$A,$A787))=0,"REVISAR","OK")</f>
        <v>OK</v>
      </c>
    </row>
    <row r="788" spans="1:6" ht="11.45" customHeight="1" x14ac:dyDescent="0.2">
      <c r="A788" s="312" t="s">
        <v>71</v>
      </c>
      <c r="B788" s="313" t="s">
        <v>39</v>
      </c>
      <c r="C788" s="312" t="s">
        <v>906</v>
      </c>
      <c r="D788" s="314">
        <v>1309</v>
      </c>
      <c r="E788" s="313" t="s">
        <v>939</v>
      </c>
      <c r="F788" s="315" t="str">
        <f>IF(IF(A788="","",COUNTIF(CONSOLIDADO!$A:$A,$A788))=0,"REVISAR","OK")</f>
        <v>OK</v>
      </c>
    </row>
    <row r="789" spans="1:6" ht="11.45" customHeight="1" x14ac:dyDescent="0.2">
      <c r="A789" s="312" t="s">
        <v>71</v>
      </c>
      <c r="B789" s="313" t="s">
        <v>39</v>
      </c>
      <c r="C789" s="312" t="s">
        <v>906</v>
      </c>
      <c r="D789" s="314">
        <v>1428</v>
      </c>
      <c r="E789" s="313" t="s">
        <v>940</v>
      </c>
      <c r="F789" s="315" t="str">
        <f>IF(IF(A789="","",COUNTIF(CONSOLIDADO!$A:$A,$A789))=0,"REVISAR","OK")</f>
        <v>OK</v>
      </c>
    </row>
    <row r="790" spans="1:6" ht="11.45" customHeight="1" x14ac:dyDescent="0.2">
      <c r="A790" s="312" t="s">
        <v>71</v>
      </c>
      <c r="B790" s="313" t="s">
        <v>39</v>
      </c>
      <c r="C790" s="312" t="s">
        <v>906</v>
      </c>
      <c r="D790" s="314">
        <v>2050</v>
      </c>
      <c r="E790" s="313" t="s">
        <v>2176</v>
      </c>
      <c r="F790" s="315" t="str">
        <f>IF(IF(A790="","",COUNTIF(CONSOLIDADO!$A:$A,$A790))=0,"REVISAR","OK")</f>
        <v>OK</v>
      </c>
    </row>
    <row r="791" spans="1:6" ht="11.45" customHeight="1" x14ac:dyDescent="0.2">
      <c r="A791" s="312" t="s">
        <v>71</v>
      </c>
      <c r="B791" s="313" t="s">
        <v>39</v>
      </c>
      <c r="C791" s="312" t="s">
        <v>906</v>
      </c>
      <c r="D791" s="314">
        <v>2099</v>
      </c>
      <c r="E791" s="313" t="s">
        <v>937</v>
      </c>
      <c r="F791" s="315" t="str">
        <f>IF(IF(A791="","",COUNTIF(CONSOLIDADO!$A:$A,$A791))=0,"REVISAR","OK")</f>
        <v>OK</v>
      </c>
    </row>
    <row r="792" spans="1:6" ht="11.45" customHeight="1" x14ac:dyDescent="0.2">
      <c r="A792" s="312" t="s">
        <v>860</v>
      </c>
      <c r="B792" s="313" t="s">
        <v>491</v>
      </c>
      <c r="C792" s="312" t="s">
        <v>111</v>
      </c>
      <c r="D792" s="314">
        <v>1000</v>
      </c>
      <c r="E792" s="313" t="s">
        <v>943</v>
      </c>
      <c r="F792" s="315" t="str">
        <f>IF(IF(A792="","",COUNTIF(CONSOLIDADO!$A:$A,$A792))=0,"REVISAR","OK")</f>
        <v>OK</v>
      </c>
    </row>
    <row r="793" spans="1:6" ht="11.45" customHeight="1" x14ac:dyDescent="0.2">
      <c r="A793" s="312" t="s">
        <v>860</v>
      </c>
      <c r="B793" s="313" t="s">
        <v>491</v>
      </c>
      <c r="C793" s="312" t="s">
        <v>111</v>
      </c>
      <c r="D793" s="314">
        <v>1300</v>
      </c>
      <c r="E793" s="313" t="s">
        <v>2210</v>
      </c>
      <c r="F793" s="315" t="str">
        <f>IF(IF(A793="","",COUNTIF(CONSOLIDADO!$A:$A,$A793))=0,"REVISAR","OK")</f>
        <v>OK</v>
      </c>
    </row>
    <row r="794" spans="1:6" ht="11.45" customHeight="1" x14ac:dyDescent="0.2">
      <c r="A794" s="312" t="s">
        <v>860</v>
      </c>
      <c r="B794" s="313" t="s">
        <v>491</v>
      </c>
      <c r="C794" s="312" t="s">
        <v>111</v>
      </c>
      <c r="D794" s="314">
        <v>1428</v>
      </c>
      <c r="E794" s="313" t="s">
        <v>1115</v>
      </c>
      <c r="F794" s="315" t="str">
        <f>IF(IF(A794="","",COUNTIF(CONSOLIDADO!$A:$A,$A794))=0,"REVISAR","OK")</f>
        <v>OK</v>
      </c>
    </row>
    <row r="795" spans="1:6" ht="11.45" customHeight="1" x14ac:dyDescent="0.2">
      <c r="A795" s="312" t="s">
        <v>860</v>
      </c>
      <c r="B795" s="313" t="s">
        <v>491</v>
      </c>
      <c r="C795" s="312" t="s">
        <v>111</v>
      </c>
      <c r="D795" s="314">
        <v>1428</v>
      </c>
      <c r="E795" s="313" t="s">
        <v>982</v>
      </c>
      <c r="F795" s="315" t="str">
        <f>IF(IF(A795="","",COUNTIF(CONSOLIDADO!$A:$A,$A795))=0,"REVISAR","OK")</f>
        <v>OK</v>
      </c>
    </row>
    <row r="796" spans="1:6" ht="11.45" customHeight="1" x14ac:dyDescent="0.2">
      <c r="A796" s="312" t="s">
        <v>860</v>
      </c>
      <c r="B796" s="313" t="s">
        <v>491</v>
      </c>
      <c r="C796" s="312" t="s">
        <v>111</v>
      </c>
      <c r="D796" s="314">
        <v>1500</v>
      </c>
      <c r="E796" s="313" t="s">
        <v>940</v>
      </c>
      <c r="F796" s="315" t="str">
        <f>IF(IF(A796="","",COUNTIF(CONSOLIDADO!$A:$A,$A796))=0,"REVISAR","OK")</f>
        <v>OK</v>
      </c>
    </row>
    <row r="797" spans="1:6" ht="11.45" customHeight="1" x14ac:dyDescent="0.2">
      <c r="A797" s="312" t="s">
        <v>860</v>
      </c>
      <c r="B797" s="313" t="s">
        <v>491</v>
      </c>
      <c r="C797" s="312" t="s">
        <v>111</v>
      </c>
      <c r="D797" s="314">
        <v>1500</v>
      </c>
      <c r="E797" s="313" t="s">
        <v>2210</v>
      </c>
      <c r="F797" s="315" t="str">
        <f>IF(IF(A797="","",COUNTIF(CONSOLIDADO!$A:$A,$A797))=0,"REVISAR","OK")</f>
        <v>OK</v>
      </c>
    </row>
    <row r="798" spans="1:6" ht="11.45" customHeight="1" x14ac:dyDescent="0.2">
      <c r="A798" s="312" t="s">
        <v>860</v>
      </c>
      <c r="B798" s="313" t="s">
        <v>491</v>
      </c>
      <c r="C798" s="312" t="s">
        <v>111</v>
      </c>
      <c r="D798" s="314">
        <v>1500</v>
      </c>
      <c r="E798" s="313" t="s">
        <v>2274</v>
      </c>
      <c r="F798" s="315" t="str">
        <f>IF(IF(A798="","",COUNTIF(CONSOLIDADO!$A:$A,$A798))=0,"REVISAR","OK")</f>
        <v>OK</v>
      </c>
    </row>
    <row r="799" spans="1:6" ht="11.45" customHeight="1" x14ac:dyDescent="0.2">
      <c r="A799" s="312" t="s">
        <v>860</v>
      </c>
      <c r="B799" s="313" t="s">
        <v>491</v>
      </c>
      <c r="C799" s="312" t="s">
        <v>111</v>
      </c>
      <c r="D799" s="314">
        <v>1547</v>
      </c>
      <c r="E799" s="313" t="s">
        <v>982</v>
      </c>
      <c r="F799" s="315" t="str">
        <f>IF(IF(A799="","",COUNTIF(CONSOLIDADO!$A:$A,$A799))=0,"REVISAR","OK")</f>
        <v>OK</v>
      </c>
    </row>
    <row r="800" spans="1:6" ht="11.45" customHeight="1" x14ac:dyDescent="0.2">
      <c r="A800" s="312" t="s">
        <v>860</v>
      </c>
      <c r="B800" s="313" t="s">
        <v>491</v>
      </c>
      <c r="C800" s="312" t="s">
        <v>111</v>
      </c>
      <c r="D800" s="314">
        <v>1666</v>
      </c>
      <c r="E800" s="313" t="s">
        <v>939</v>
      </c>
      <c r="F800" s="315" t="str">
        <f>IF(IF(A800="","",COUNTIF(CONSOLIDADO!$A:$A,$A800))=0,"REVISAR","OK")</f>
        <v>OK</v>
      </c>
    </row>
    <row r="801" spans="1:6" ht="11.45" customHeight="1" x14ac:dyDescent="0.2">
      <c r="A801" s="312" t="s">
        <v>860</v>
      </c>
      <c r="B801" s="313" t="s">
        <v>491</v>
      </c>
      <c r="C801" s="312" t="s">
        <v>111</v>
      </c>
      <c r="D801" s="314">
        <v>1785</v>
      </c>
      <c r="E801" s="313" t="s">
        <v>2070</v>
      </c>
      <c r="F801" s="315" t="str">
        <f>IF(IF(A801="","",COUNTIF(CONSOLIDADO!$A:$A,$A801))=0,"REVISAR","OK")</f>
        <v>OK</v>
      </c>
    </row>
    <row r="802" spans="1:6" ht="11.45" customHeight="1" x14ac:dyDescent="0.2">
      <c r="A802" s="312" t="s">
        <v>860</v>
      </c>
      <c r="B802" s="313" t="s">
        <v>491</v>
      </c>
      <c r="C802" s="312" t="s">
        <v>111</v>
      </c>
      <c r="D802" s="314">
        <v>1984</v>
      </c>
      <c r="E802" s="313" t="s">
        <v>932</v>
      </c>
      <c r="F802" s="315" t="str">
        <f>IF(IF(A802="","",COUNTIF(CONSOLIDADO!$A:$A,$A802))=0,"REVISAR","OK")</f>
        <v>OK</v>
      </c>
    </row>
    <row r="803" spans="1:6" ht="11.45" customHeight="1" x14ac:dyDescent="0.2">
      <c r="A803" s="312" t="s">
        <v>860</v>
      </c>
      <c r="B803" s="313" t="s">
        <v>491</v>
      </c>
      <c r="C803" s="312" t="s">
        <v>111</v>
      </c>
      <c r="D803" s="314">
        <v>1987</v>
      </c>
      <c r="E803" s="313" t="s">
        <v>2146</v>
      </c>
      <c r="F803" s="315" t="str">
        <f>IF(IF(A803="","",COUNTIF(CONSOLIDADO!$A:$A,$A803))=0,"REVISAR","OK")</f>
        <v>OK</v>
      </c>
    </row>
    <row r="804" spans="1:6" ht="11.45" customHeight="1" x14ac:dyDescent="0.2">
      <c r="A804" s="312" t="s">
        <v>860</v>
      </c>
      <c r="B804" s="313" t="s">
        <v>491</v>
      </c>
      <c r="C804" s="312" t="s">
        <v>111</v>
      </c>
      <c r="D804" s="314">
        <v>1987</v>
      </c>
      <c r="E804" s="313" t="s">
        <v>2146</v>
      </c>
      <c r="F804" s="315" t="str">
        <f>IF(IF(A804="","",COUNTIF(CONSOLIDADO!$A:$A,$A804))=0,"REVISAR","OK")</f>
        <v>OK</v>
      </c>
    </row>
    <row r="805" spans="1:6" ht="11.45" customHeight="1" x14ac:dyDescent="0.2">
      <c r="A805" s="312" t="s">
        <v>860</v>
      </c>
      <c r="B805" s="313" t="s">
        <v>491</v>
      </c>
      <c r="C805" s="312" t="s">
        <v>111</v>
      </c>
      <c r="D805" s="314">
        <v>1987</v>
      </c>
      <c r="E805" s="313" t="s">
        <v>2005</v>
      </c>
      <c r="F805" s="315" t="str">
        <f>IF(IF(A805="","",COUNTIF(CONSOLIDADO!$A:$A,$A805))=0,"REVISAR","OK")</f>
        <v>OK</v>
      </c>
    </row>
    <row r="806" spans="1:6" ht="11.45" customHeight="1" x14ac:dyDescent="0.2">
      <c r="A806" s="312" t="s">
        <v>1371</v>
      </c>
      <c r="B806" s="313" t="s">
        <v>1372</v>
      </c>
      <c r="C806" s="312" t="s">
        <v>111</v>
      </c>
      <c r="D806" s="314">
        <v>535</v>
      </c>
      <c r="E806" s="313" t="s">
        <v>982</v>
      </c>
      <c r="F806" s="315" t="str">
        <f>IF(IF(A806="","",COUNTIF(CONSOLIDADO!$A:$A,$A806))=0,"REVISAR","OK")</f>
        <v>OK</v>
      </c>
    </row>
    <row r="807" spans="1:6" ht="11.45" customHeight="1" x14ac:dyDescent="0.2">
      <c r="A807" s="312" t="s">
        <v>1371</v>
      </c>
      <c r="B807" s="313" t="s">
        <v>1372</v>
      </c>
      <c r="C807" s="312" t="s">
        <v>111</v>
      </c>
      <c r="D807" s="314">
        <v>20230</v>
      </c>
      <c r="E807" s="313" t="s">
        <v>949</v>
      </c>
      <c r="F807" s="315" t="str">
        <f>IF(IF(A807="","",COUNTIF(CONSOLIDADO!$A:$A,$A807))=0,"REVISAR","OK")</f>
        <v>OK</v>
      </c>
    </row>
    <row r="808" spans="1:6" ht="11.45" customHeight="1" x14ac:dyDescent="0.2">
      <c r="A808" s="312" t="s">
        <v>82</v>
      </c>
      <c r="B808" s="313" t="s">
        <v>41</v>
      </c>
      <c r="C808" s="312" t="s">
        <v>947</v>
      </c>
      <c r="D808" s="314">
        <v>1904</v>
      </c>
      <c r="E808" s="313" t="s">
        <v>982</v>
      </c>
      <c r="F808" s="315" t="str">
        <f>IF(IF(A808="","",COUNTIF(CONSOLIDADO!$A:$A,$A808))=0,"REVISAR","OK")</f>
        <v>OK</v>
      </c>
    </row>
    <row r="809" spans="1:6" ht="11.45" customHeight="1" x14ac:dyDescent="0.2">
      <c r="A809" s="312" t="s">
        <v>82</v>
      </c>
      <c r="B809" s="313" t="s">
        <v>41</v>
      </c>
      <c r="C809" s="312" t="s">
        <v>947</v>
      </c>
      <c r="D809" s="314">
        <v>2380</v>
      </c>
      <c r="E809" s="313" t="s">
        <v>2276</v>
      </c>
      <c r="F809" s="315" t="str">
        <f>IF(IF(A809="","",COUNTIF(CONSOLIDADO!$A:$A,$A809))=0,"REVISAR","OK")</f>
        <v>OK</v>
      </c>
    </row>
    <row r="810" spans="1:6" ht="11.45" customHeight="1" x14ac:dyDescent="0.2">
      <c r="A810" s="312" t="s">
        <v>82</v>
      </c>
      <c r="B810" s="313" t="s">
        <v>41</v>
      </c>
      <c r="C810" s="312" t="s">
        <v>947</v>
      </c>
      <c r="D810" s="314">
        <v>2618</v>
      </c>
      <c r="E810" s="313" t="s">
        <v>2146</v>
      </c>
      <c r="F810" s="315" t="str">
        <f>IF(IF(A810="","",COUNTIF(CONSOLIDADO!$A:$A,$A810))=0,"REVISAR","OK")</f>
        <v>OK</v>
      </c>
    </row>
    <row r="811" spans="1:6" ht="11.45" customHeight="1" x14ac:dyDescent="0.2">
      <c r="A811" s="312" t="s">
        <v>82</v>
      </c>
      <c r="B811" s="313" t="s">
        <v>41</v>
      </c>
      <c r="C811" s="312" t="s">
        <v>947</v>
      </c>
      <c r="D811" s="314">
        <v>2749</v>
      </c>
      <c r="E811" s="313" t="s">
        <v>935</v>
      </c>
      <c r="F811" s="315" t="str">
        <f>IF(IF(A811="","",COUNTIF(CONSOLIDADO!$A:$A,$A811))=0,"REVISAR","OK")</f>
        <v>OK</v>
      </c>
    </row>
    <row r="812" spans="1:6" ht="11.45" customHeight="1" x14ac:dyDescent="0.2">
      <c r="A812" s="312" t="s">
        <v>82</v>
      </c>
      <c r="B812" s="313" t="s">
        <v>41</v>
      </c>
      <c r="C812" s="312" t="s">
        <v>947</v>
      </c>
      <c r="D812" s="314">
        <v>3005</v>
      </c>
      <c r="E812" s="313" t="s">
        <v>938</v>
      </c>
      <c r="F812" s="315" t="str">
        <f>IF(IF(A812="","",COUNTIF(CONSOLIDADO!$A:$A,$A812))=0,"REVISAR","OK")</f>
        <v>OK</v>
      </c>
    </row>
    <row r="813" spans="1:6" ht="11.45" customHeight="1" x14ac:dyDescent="0.2">
      <c r="A813" s="312" t="s">
        <v>82</v>
      </c>
      <c r="B813" s="313" t="s">
        <v>41</v>
      </c>
      <c r="C813" s="312" t="s">
        <v>947</v>
      </c>
      <c r="D813" s="314">
        <v>3099</v>
      </c>
      <c r="E813" s="313" t="s">
        <v>2258</v>
      </c>
      <c r="F813" s="315" t="str">
        <f>IF(IF(A813="","",COUNTIF(CONSOLIDADO!$A:$A,$A813))=0,"REVISAR","OK")</f>
        <v>OK</v>
      </c>
    </row>
    <row r="814" spans="1:6" ht="11.45" customHeight="1" x14ac:dyDescent="0.2">
      <c r="A814" s="312" t="s">
        <v>82</v>
      </c>
      <c r="B814" s="313" t="s">
        <v>41</v>
      </c>
      <c r="C814" s="312" t="s">
        <v>947</v>
      </c>
      <c r="D814" s="314">
        <v>3200</v>
      </c>
      <c r="E814" s="313" t="s">
        <v>2073</v>
      </c>
      <c r="F814" s="315" t="str">
        <f>IF(IF(A814="","",COUNTIF(CONSOLIDADO!$A:$A,$A814))=0,"REVISAR","OK")</f>
        <v>OK</v>
      </c>
    </row>
    <row r="815" spans="1:6" ht="11.45" customHeight="1" x14ac:dyDescent="0.2">
      <c r="A815" s="312" t="s">
        <v>82</v>
      </c>
      <c r="B815" s="313" t="s">
        <v>41</v>
      </c>
      <c r="C815" s="312" t="s">
        <v>947</v>
      </c>
      <c r="D815" s="314">
        <v>5000</v>
      </c>
      <c r="E815" s="313" t="s">
        <v>943</v>
      </c>
      <c r="F815" s="315" t="str">
        <f>IF(IF(A815="","",COUNTIF(CONSOLIDADO!$A:$A,$A815))=0,"REVISAR","OK")</f>
        <v>OK</v>
      </c>
    </row>
    <row r="816" spans="1:6" ht="11.45" customHeight="1" x14ac:dyDescent="0.2">
      <c r="A816" s="312" t="s">
        <v>82</v>
      </c>
      <c r="B816" s="313" t="s">
        <v>41</v>
      </c>
      <c r="C816" s="312" t="s">
        <v>947</v>
      </c>
      <c r="D816" s="314">
        <v>7200</v>
      </c>
      <c r="E816" s="313" t="s">
        <v>2232</v>
      </c>
      <c r="F816" s="315" t="str">
        <f>IF(IF(A816="","",COUNTIF(CONSOLIDADO!$A:$A,$A816))=0,"REVISAR","OK")</f>
        <v>OK</v>
      </c>
    </row>
    <row r="817" spans="1:6" ht="11.45" customHeight="1" x14ac:dyDescent="0.2">
      <c r="A817" s="312" t="s">
        <v>870</v>
      </c>
      <c r="B817" s="313" t="s">
        <v>1036</v>
      </c>
      <c r="C817" s="312" t="s">
        <v>906</v>
      </c>
      <c r="D817" s="314">
        <v>1400</v>
      </c>
      <c r="E817" s="313" t="s">
        <v>2297</v>
      </c>
      <c r="F817" s="315" t="str">
        <f>IF(IF(A817="","",COUNTIF(CONSOLIDADO!$A:$A,$A817))=0,"REVISAR","OK")</f>
        <v>OK</v>
      </c>
    </row>
    <row r="818" spans="1:6" ht="11.45" customHeight="1" x14ac:dyDescent="0.2">
      <c r="A818" s="312" t="s">
        <v>870</v>
      </c>
      <c r="B818" s="313" t="s">
        <v>1036</v>
      </c>
      <c r="C818" s="312" t="s">
        <v>906</v>
      </c>
      <c r="D818" s="314">
        <v>1428</v>
      </c>
      <c r="E818" s="313" t="s">
        <v>976</v>
      </c>
      <c r="F818" s="315" t="str">
        <f>IF(IF(A818="","",COUNTIF(CONSOLIDADO!$A:$A,$A818))=0,"REVISAR","OK")</f>
        <v>OK</v>
      </c>
    </row>
    <row r="819" spans="1:6" ht="11.45" customHeight="1" x14ac:dyDescent="0.2">
      <c r="A819" s="312" t="s">
        <v>1383</v>
      </c>
      <c r="B819" s="313" t="s">
        <v>1384</v>
      </c>
      <c r="C819" s="312" t="s">
        <v>15</v>
      </c>
      <c r="D819" s="314">
        <v>3332</v>
      </c>
      <c r="E819" s="313" t="s">
        <v>1115</v>
      </c>
      <c r="F819" s="315" t="str">
        <f>IF(IF(A819="","",COUNTIF(CONSOLIDADO!$A:$A,$A819))=0,"REVISAR","OK")</f>
        <v>OK</v>
      </c>
    </row>
    <row r="820" spans="1:6" ht="11.45" customHeight="1" x14ac:dyDescent="0.2">
      <c r="A820" s="312" t="s">
        <v>1387</v>
      </c>
      <c r="B820" s="313" t="s">
        <v>1241</v>
      </c>
      <c r="C820" s="312" t="s">
        <v>15</v>
      </c>
      <c r="D820" s="314">
        <v>3850</v>
      </c>
      <c r="E820" s="313" t="s">
        <v>930</v>
      </c>
      <c r="F820" s="315" t="str">
        <f>IF(IF(A820="","",COUNTIF(CONSOLIDADO!$A:$A,$A820))=0,"REVISAR","OK")</f>
        <v>OK</v>
      </c>
    </row>
    <row r="821" spans="1:6" ht="11.45" customHeight="1" x14ac:dyDescent="0.2">
      <c r="A821" s="312" t="s">
        <v>85</v>
      </c>
      <c r="B821" s="313" t="s">
        <v>84</v>
      </c>
      <c r="C821" s="312" t="s">
        <v>15</v>
      </c>
      <c r="D821" s="314">
        <v>1175</v>
      </c>
      <c r="E821" s="313" t="s">
        <v>932</v>
      </c>
      <c r="F821" s="315" t="str">
        <f>IF(IF(A821="","",COUNTIF(CONSOLIDADO!$A:$A,$A821))=0,"REVISAR","OK")</f>
        <v>OK</v>
      </c>
    </row>
    <row r="822" spans="1:6" ht="11.45" customHeight="1" x14ac:dyDescent="0.2">
      <c r="A822" s="312" t="s">
        <v>85</v>
      </c>
      <c r="B822" s="313" t="s">
        <v>84</v>
      </c>
      <c r="C822" s="312" t="s">
        <v>15</v>
      </c>
      <c r="D822" s="314">
        <v>1180</v>
      </c>
      <c r="E822" s="313" t="s">
        <v>2146</v>
      </c>
      <c r="F822" s="315" t="str">
        <f>IF(IF(A822="","",COUNTIF(CONSOLIDADO!$A:$A,$A822))=0,"REVISAR","OK")</f>
        <v>OK</v>
      </c>
    </row>
    <row r="823" spans="1:6" ht="11.45" customHeight="1" x14ac:dyDescent="0.2">
      <c r="A823" s="312" t="s">
        <v>85</v>
      </c>
      <c r="B823" s="313" t="s">
        <v>84</v>
      </c>
      <c r="C823" s="312" t="s">
        <v>15</v>
      </c>
      <c r="D823" s="314">
        <v>1180</v>
      </c>
      <c r="E823" s="313" t="s">
        <v>2238</v>
      </c>
      <c r="F823" s="315" t="str">
        <f>IF(IF(A823="","",COUNTIF(CONSOLIDADO!$A:$A,$A823))=0,"REVISAR","OK")</f>
        <v>OK</v>
      </c>
    </row>
    <row r="824" spans="1:6" ht="11.45" customHeight="1" x14ac:dyDescent="0.2">
      <c r="A824" s="312" t="s">
        <v>85</v>
      </c>
      <c r="B824" s="313" t="s">
        <v>84</v>
      </c>
      <c r="C824" s="312" t="s">
        <v>15</v>
      </c>
      <c r="D824" s="314">
        <v>1180</v>
      </c>
      <c r="E824" s="313" t="s">
        <v>2146</v>
      </c>
      <c r="F824" s="315" t="str">
        <f>IF(IF(A824="","",COUNTIF(CONSOLIDADO!$A:$A,$A824))=0,"REVISAR","OK")</f>
        <v>OK</v>
      </c>
    </row>
    <row r="825" spans="1:6" ht="11.45" customHeight="1" x14ac:dyDescent="0.2">
      <c r="A825" s="312" t="s">
        <v>85</v>
      </c>
      <c r="B825" s="313" t="s">
        <v>84</v>
      </c>
      <c r="C825" s="312" t="s">
        <v>15</v>
      </c>
      <c r="D825" s="314">
        <v>1180</v>
      </c>
      <c r="E825" s="313" t="s">
        <v>948</v>
      </c>
      <c r="F825" s="315" t="str">
        <f>IF(IF(A825="","",COUNTIF(CONSOLIDADO!$A:$A,$A825))=0,"REVISAR","OK")</f>
        <v>OK</v>
      </c>
    </row>
    <row r="826" spans="1:6" ht="11.45" customHeight="1" x14ac:dyDescent="0.2">
      <c r="A826" s="312" t="s">
        <v>85</v>
      </c>
      <c r="B826" s="313" t="s">
        <v>84</v>
      </c>
      <c r="C826" s="312" t="s">
        <v>15</v>
      </c>
      <c r="D826" s="314">
        <v>1181</v>
      </c>
      <c r="E826" s="313" t="s">
        <v>944</v>
      </c>
      <c r="F826" s="315" t="str">
        <f>IF(IF(A826="","",COUNTIF(CONSOLIDADO!$A:$A,$A826))=0,"REVISAR","OK")</f>
        <v>OK</v>
      </c>
    </row>
    <row r="827" spans="1:6" ht="11.45" customHeight="1" x14ac:dyDescent="0.2">
      <c r="A827" s="312" t="s">
        <v>85</v>
      </c>
      <c r="B827" s="313" t="s">
        <v>84</v>
      </c>
      <c r="C827" s="312" t="s">
        <v>15</v>
      </c>
      <c r="D827" s="314">
        <v>1182</v>
      </c>
      <c r="E827" s="313" t="s">
        <v>2297</v>
      </c>
      <c r="F827" s="315" t="str">
        <f>IF(IF(A827="","",COUNTIF(CONSOLIDADO!$A:$A,$A827))=0,"REVISAR","OK")</f>
        <v>OK</v>
      </c>
    </row>
    <row r="828" spans="1:6" ht="11.45" customHeight="1" x14ac:dyDescent="0.2">
      <c r="A828" s="312" t="s">
        <v>85</v>
      </c>
      <c r="B828" s="313" t="s">
        <v>84</v>
      </c>
      <c r="C828" s="312" t="s">
        <v>15</v>
      </c>
      <c r="D828" s="314">
        <v>1184</v>
      </c>
      <c r="E828" s="313" t="s">
        <v>2005</v>
      </c>
      <c r="F828" s="315" t="str">
        <f>IF(IF(A828="","",COUNTIF(CONSOLIDADO!$A:$A,$A828))=0,"REVISAR","OK")</f>
        <v>OK</v>
      </c>
    </row>
    <row r="829" spans="1:6" ht="11.45" customHeight="1" x14ac:dyDescent="0.2">
      <c r="A829" s="312" t="s">
        <v>85</v>
      </c>
      <c r="B829" s="313" t="s">
        <v>84</v>
      </c>
      <c r="C829" s="312" t="s">
        <v>15</v>
      </c>
      <c r="D829" s="314">
        <v>1185</v>
      </c>
      <c r="E829" s="313" t="s">
        <v>2070</v>
      </c>
      <c r="F829" s="315" t="str">
        <f>IF(IF(A829="","",COUNTIF(CONSOLIDADO!$A:$A,$A829))=0,"REVISAR","OK")</f>
        <v>OK</v>
      </c>
    </row>
    <row r="830" spans="1:6" ht="11.45" customHeight="1" x14ac:dyDescent="0.2">
      <c r="A830" s="312" t="s">
        <v>85</v>
      </c>
      <c r="B830" s="313" t="s">
        <v>84</v>
      </c>
      <c r="C830" s="312" t="s">
        <v>15</v>
      </c>
      <c r="D830" s="314">
        <v>1185</v>
      </c>
      <c r="E830" s="313" t="s">
        <v>935</v>
      </c>
      <c r="F830" s="315" t="str">
        <f>IF(IF(A830="","",COUNTIF(CONSOLIDADO!$A:$A,$A830))=0,"REVISAR","OK")</f>
        <v>OK</v>
      </c>
    </row>
    <row r="831" spans="1:6" ht="11.45" customHeight="1" x14ac:dyDescent="0.2">
      <c r="A831" s="312" t="s">
        <v>85</v>
      </c>
      <c r="B831" s="313" t="s">
        <v>84</v>
      </c>
      <c r="C831" s="312" t="s">
        <v>15</v>
      </c>
      <c r="D831" s="314">
        <v>1185</v>
      </c>
      <c r="E831" s="313" t="s">
        <v>2238</v>
      </c>
      <c r="F831" s="315" t="str">
        <f>IF(IF(A831="","",COUNTIF(CONSOLIDADO!$A:$A,$A831))=0,"REVISAR","OK")</f>
        <v>OK</v>
      </c>
    </row>
    <row r="832" spans="1:6" ht="11.45" customHeight="1" x14ac:dyDescent="0.2">
      <c r="A832" s="312" t="s">
        <v>85</v>
      </c>
      <c r="B832" s="313" t="s">
        <v>84</v>
      </c>
      <c r="C832" s="312" t="s">
        <v>15</v>
      </c>
      <c r="D832" s="314">
        <v>1185</v>
      </c>
      <c r="E832" s="313" t="s">
        <v>948</v>
      </c>
      <c r="F832" s="315" t="str">
        <f>IF(IF(A832="","",COUNTIF(CONSOLIDADO!$A:$A,$A832))=0,"REVISAR","OK")</f>
        <v>OK</v>
      </c>
    </row>
    <row r="833" spans="1:6" ht="11.45" customHeight="1" x14ac:dyDescent="0.2">
      <c r="A833" s="312" t="s">
        <v>85</v>
      </c>
      <c r="B833" s="313" t="s">
        <v>84</v>
      </c>
      <c r="C833" s="312" t="s">
        <v>15</v>
      </c>
      <c r="D833" s="314">
        <v>1185</v>
      </c>
      <c r="E833" s="313" t="s">
        <v>935</v>
      </c>
      <c r="F833" s="315" t="str">
        <f>IF(IF(A833="","",COUNTIF(CONSOLIDADO!$A:$A,$A833))=0,"REVISAR","OK")</f>
        <v>OK</v>
      </c>
    </row>
    <row r="834" spans="1:6" ht="11.45" customHeight="1" x14ac:dyDescent="0.2">
      <c r="A834" s="312" t="s">
        <v>85</v>
      </c>
      <c r="B834" s="313" t="s">
        <v>84</v>
      </c>
      <c r="C834" s="312" t="s">
        <v>15</v>
      </c>
      <c r="D834" s="314">
        <v>1185</v>
      </c>
      <c r="E834" s="313" t="s">
        <v>935</v>
      </c>
      <c r="F834" s="315" t="str">
        <f>IF(IF(A834="","",COUNTIF(CONSOLIDADO!$A:$A,$A834))=0,"REVISAR","OK")</f>
        <v>OK</v>
      </c>
    </row>
    <row r="835" spans="1:6" ht="11.45" customHeight="1" x14ac:dyDescent="0.2">
      <c r="A835" s="312" t="s">
        <v>85</v>
      </c>
      <c r="B835" s="313" t="s">
        <v>84</v>
      </c>
      <c r="C835" s="312" t="s">
        <v>15</v>
      </c>
      <c r="D835" s="314">
        <v>1199</v>
      </c>
      <c r="E835" s="313" t="s">
        <v>2329</v>
      </c>
      <c r="F835" s="315" t="str">
        <f>IF(IF(A835="","",COUNTIF(CONSOLIDADO!$A:$A,$A835))=0,"REVISAR","OK")</f>
        <v>OK</v>
      </c>
    </row>
    <row r="836" spans="1:6" ht="11.45" customHeight="1" x14ac:dyDescent="0.2">
      <c r="A836" s="312" t="s">
        <v>85</v>
      </c>
      <c r="B836" s="313" t="s">
        <v>84</v>
      </c>
      <c r="C836" s="312" t="s">
        <v>15</v>
      </c>
      <c r="D836" s="314">
        <v>1200</v>
      </c>
      <c r="E836" s="313" t="s">
        <v>938</v>
      </c>
      <c r="F836" s="315" t="str">
        <f>IF(IF(A836="","",COUNTIF(CONSOLIDADO!$A:$A,$A836))=0,"REVISAR","OK")</f>
        <v>OK</v>
      </c>
    </row>
    <row r="837" spans="1:6" ht="11.45" customHeight="1" x14ac:dyDescent="0.2">
      <c r="A837" s="312" t="s">
        <v>85</v>
      </c>
      <c r="B837" s="313" t="s">
        <v>84</v>
      </c>
      <c r="C837" s="312" t="s">
        <v>15</v>
      </c>
      <c r="D837" s="314">
        <v>1200</v>
      </c>
      <c r="E837" s="313" t="s">
        <v>976</v>
      </c>
      <c r="F837" s="315" t="str">
        <f>IF(IF(A837="","",COUNTIF(CONSOLIDADO!$A:$A,$A837))=0,"REVISAR","OK")</f>
        <v>OK</v>
      </c>
    </row>
    <row r="838" spans="1:6" ht="11.45" customHeight="1" x14ac:dyDescent="0.2">
      <c r="A838" s="312" t="s">
        <v>85</v>
      </c>
      <c r="B838" s="313" t="s">
        <v>84</v>
      </c>
      <c r="C838" s="312" t="s">
        <v>15</v>
      </c>
      <c r="D838" s="314">
        <v>1200</v>
      </c>
      <c r="E838" s="313" t="s">
        <v>940</v>
      </c>
      <c r="F838" s="315" t="str">
        <f>IF(IF(A838="","",COUNTIF(CONSOLIDADO!$A:$A,$A838))=0,"REVISAR","OK")</f>
        <v>OK</v>
      </c>
    </row>
    <row r="839" spans="1:6" ht="11.45" customHeight="1" x14ac:dyDescent="0.2">
      <c r="A839" s="312" t="s">
        <v>85</v>
      </c>
      <c r="B839" s="313" t="s">
        <v>84</v>
      </c>
      <c r="C839" s="312" t="s">
        <v>15</v>
      </c>
      <c r="D839" s="314">
        <v>1200</v>
      </c>
      <c r="E839" s="313" t="s">
        <v>974</v>
      </c>
      <c r="F839" s="315" t="str">
        <f>IF(IF(A839="","",COUNTIF(CONSOLIDADO!$A:$A,$A839))=0,"REVISAR","OK")</f>
        <v>OK</v>
      </c>
    </row>
    <row r="840" spans="1:6" ht="11.45" customHeight="1" x14ac:dyDescent="0.2">
      <c r="A840" s="312" t="s">
        <v>85</v>
      </c>
      <c r="B840" s="313" t="s">
        <v>84</v>
      </c>
      <c r="C840" s="312" t="s">
        <v>15</v>
      </c>
      <c r="D840" s="314">
        <v>1200</v>
      </c>
      <c r="E840" s="313" t="s">
        <v>2073</v>
      </c>
      <c r="F840" s="315" t="str">
        <f>IF(IF(A840="","",COUNTIF(CONSOLIDADO!$A:$A,$A840))=0,"REVISAR","OK")</f>
        <v>OK</v>
      </c>
    </row>
    <row r="841" spans="1:6" ht="11.45" customHeight="1" x14ac:dyDescent="0.2">
      <c r="A841" s="312" t="s">
        <v>85</v>
      </c>
      <c r="B841" s="313" t="s">
        <v>84</v>
      </c>
      <c r="C841" s="312" t="s">
        <v>15</v>
      </c>
      <c r="D841" s="314">
        <v>1400</v>
      </c>
      <c r="E841" s="313" t="s">
        <v>974</v>
      </c>
      <c r="F841" s="315" t="str">
        <f>IF(IF(A841="","",COUNTIF(CONSOLIDADO!$A:$A,$A841))=0,"REVISAR","OK")</f>
        <v>OK</v>
      </c>
    </row>
    <row r="842" spans="1:6" ht="11.45" customHeight="1" x14ac:dyDescent="0.2">
      <c r="A842" s="312" t="s">
        <v>85</v>
      </c>
      <c r="B842" s="313" t="s">
        <v>84</v>
      </c>
      <c r="C842" s="312" t="s">
        <v>15</v>
      </c>
      <c r="D842" s="314">
        <v>1400</v>
      </c>
      <c r="E842" s="313" t="s">
        <v>940</v>
      </c>
      <c r="F842" s="315" t="str">
        <f>IF(IF(A842="","",COUNTIF(CONSOLIDADO!$A:$A,$A842))=0,"REVISAR","OK")</f>
        <v>OK</v>
      </c>
    </row>
    <row r="843" spans="1:6" ht="11.45" customHeight="1" x14ac:dyDescent="0.2">
      <c r="A843" s="312" t="s">
        <v>85</v>
      </c>
      <c r="B843" s="313" t="s">
        <v>84</v>
      </c>
      <c r="C843" s="312" t="s">
        <v>15</v>
      </c>
      <c r="D843" s="314">
        <v>1423</v>
      </c>
      <c r="E843" s="313" t="s">
        <v>951</v>
      </c>
      <c r="F843" s="315" t="str">
        <f>IF(IF(A843="","",COUNTIF(CONSOLIDADO!$A:$A,$A843))=0,"REVISAR","OK")</f>
        <v>OK</v>
      </c>
    </row>
    <row r="844" spans="1:6" ht="11.45" customHeight="1" x14ac:dyDescent="0.2">
      <c r="A844" s="312" t="s">
        <v>85</v>
      </c>
      <c r="B844" s="313" t="s">
        <v>84</v>
      </c>
      <c r="C844" s="312" t="s">
        <v>15</v>
      </c>
      <c r="D844" s="314">
        <v>1428</v>
      </c>
      <c r="E844" s="313" t="s">
        <v>939</v>
      </c>
      <c r="F844" s="315" t="str">
        <f>IF(IF(A844="","",COUNTIF(CONSOLIDADO!$A:$A,$A844))=0,"REVISAR","OK")</f>
        <v>OK</v>
      </c>
    </row>
    <row r="845" spans="1:6" ht="11.45" customHeight="1" x14ac:dyDescent="0.2">
      <c r="A845" s="312" t="s">
        <v>85</v>
      </c>
      <c r="B845" s="313" t="s">
        <v>84</v>
      </c>
      <c r="C845" s="312" t="s">
        <v>15</v>
      </c>
      <c r="D845" s="314">
        <v>1428</v>
      </c>
      <c r="E845" s="313" t="s">
        <v>982</v>
      </c>
      <c r="F845" s="315" t="str">
        <f>IF(IF(A845="","",COUNTIF(CONSOLIDADO!$A:$A,$A845))=0,"REVISAR","OK")</f>
        <v>OK</v>
      </c>
    </row>
    <row r="846" spans="1:6" ht="11.45" customHeight="1" x14ac:dyDescent="0.2">
      <c r="A846" s="312" t="s">
        <v>85</v>
      </c>
      <c r="B846" s="313" t="s">
        <v>84</v>
      </c>
      <c r="C846" s="312" t="s">
        <v>15</v>
      </c>
      <c r="D846" s="314">
        <v>1428</v>
      </c>
      <c r="E846" s="313" t="s">
        <v>2233</v>
      </c>
      <c r="F846" s="315" t="str">
        <f>IF(IF(A846="","",COUNTIF(CONSOLIDADO!$A:$A,$A846))=0,"REVISAR","OK")</f>
        <v>OK</v>
      </c>
    </row>
    <row r="847" spans="1:6" ht="11.45" customHeight="1" x14ac:dyDescent="0.2">
      <c r="A847" s="312" t="s">
        <v>85</v>
      </c>
      <c r="B847" s="313" t="s">
        <v>84</v>
      </c>
      <c r="C847" s="312" t="s">
        <v>15</v>
      </c>
      <c r="D847" s="314">
        <v>1428</v>
      </c>
      <c r="E847" s="313" t="s">
        <v>2258</v>
      </c>
      <c r="F847" s="315" t="str">
        <f>IF(IF(A847="","",COUNTIF(CONSOLIDADO!$A:$A,$A847))=0,"REVISAR","OK")</f>
        <v>OK</v>
      </c>
    </row>
    <row r="848" spans="1:6" ht="11.45" customHeight="1" x14ac:dyDescent="0.2">
      <c r="A848" s="312" t="s">
        <v>85</v>
      </c>
      <c r="B848" s="313" t="s">
        <v>84</v>
      </c>
      <c r="C848" s="312" t="s">
        <v>15</v>
      </c>
      <c r="D848" s="314">
        <v>1500</v>
      </c>
      <c r="E848" s="313" t="s">
        <v>2211</v>
      </c>
      <c r="F848" s="315" t="str">
        <f>IF(IF(A848="","",COUNTIF(CONSOLIDADO!$A:$A,$A848))=0,"REVISAR","OK")</f>
        <v>OK</v>
      </c>
    </row>
    <row r="849" spans="1:6" ht="11.45" customHeight="1" x14ac:dyDescent="0.2">
      <c r="A849" s="312" t="s">
        <v>85</v>
      </c>
      <c r="B849" s="313" t="s">
        <v>84</v>
      </c>
      <c r="C849" s="312" t="s">
        <v>15</v>
      </c>
      <c r="D849" s="314">
        <v>1500</v>
      </c>
      <c r="E849" s="313" t="s">
        <v>2210</v>
      </c>
      <c r="F849" s="315" t="str">
        <f>IF(IF(A849="","",COUNTIF(CONSOLIDADO!$A:$A,$A849))=0,"REVISAR","OK")</f>
        <v>OK</v>
      </c>
    </row>
    <row r="850" spans="1:6" ht="11.45" customHeight="1" x14ac:dyDescent="0.2">
      <c r="A850" s="312" t="s">
        <v>85</v>
      </c>
      <c r="B850" s="313" t="s">
        <v>84</v>
      </c>
      <c r="C850" s="312" t="s">
        <v>15</v>
      </c>
      <c r="D850" s="314">
        <v>1500</v>
      </c>
      <c r="E850" s="313" t="s">
        <v>938</v>
      </c>
      <c r="F850" s="315" t="str">
        <f>IF(IF(A850="","",COUNTIF(CONSOLIDADO!$A:$A,$A850))=0,"REVISAR","OK")</f>
        <v>OK</v>
      </c>
    </row>
    <row r="851" spans="1:6" ht="11.45" customHeight="1" x14ac:dyDescent="0.2">
      <c r="A851" s="312" t="s">
        <v>85</v>
      </c>
      <c r="B851" s="313" t="s">
        <v>84</v>
      </c>
      <c r="C851" s="312" t="s">
        <v>15</v>
      </c>
      <c r="D851" s="314">
        <v>1500</v>
      </c>
      <c r="E851" s="313" t="s">
        <v>2073</v>
      </c>
      <c r="F851" s="315" t="str">
        <f>IF(IF(A851="","",COUNTIF(CONSOLIDADO!$A:$A,$A851))=0,"REVISAR","OK")</f>
        <v>OK</v>
      </c>
    </row>
    <row r="852" spans="1:6" ht="11.45" customHeight="1" x14ac:dyDescent="0.2">
      <c r="A852" s="312" t="s">
        <v>85</v>
      </c>
      <c r="B852" s="313" t="s">
        <v>84</v>
      </c>
      <c r="C852" s="312" t="s">
        <v>15</v>
      </c>
      <c r="D852" s="314">
        <v>1547</v>
      </c>
      <c r="E852" s="313" t="s">
        <v>939</v>
      </c>
      <c r="F852" s="315" t="str">
        <f>IF(IF(A852="","",COUNTIF(CONSOLIDADO!$A:$A,$A852))=0,"REVISAR","OK")</f>
        <v>OK</v>
      </c>
    </row>
    <row r="853" spans="1:6" ht="11.45" customHeight="1" x14ac:dyDescent="0.2">
      <c r="A853" s="312" t="s">
        <v>85</v>
      </c>
      <c r="B853" s="313" t="s">
        <v>84</v>
      </c>
      <c r="C853" s="312" t="s">
        <v>15</v>
      </c>
      <c r="D853" s="314">
        <v>1566</v>
      </c>
      <c r="E853" s="313" t="s">
        <v>930</v>
      </c>
      <c r="F853" s="315" t="str">
        <f>IF(IF(A853="","",COUNTIF(CONSOLIDADO!$A:$A,$A853))=0,"REVISAR","OK")</f>
        <v>OK</v>
      </c>
    </row>
    <row r="854" spans="1:6" ht="11.45" customHeight="1" x14ac:dyDescent="0.2">
      <c r="A854" s="312" t="s">
        <v>85</v>
      </c>
      <c r="B854" s="313" t="s">
        <v>84</v>
      </c>
      <c r="C854" s="312" t="s">
        <v>15</v>
      </c>
      <c r="D854" s="314">
        <v>1586</v>
      </c>
      <c r="E854" s="313" t="s">
        <v>950</v>
      </c>
      <c r="F854" s="315" t="str">
        <f>IF(IF(A854="","",COUNTIF(CONSOLIDADO!$A:$A,$A854))=0,"REVISAR","OK")</f>
        <v>OK</v>
      </c>
    </row>
    <row r="855" spans="1:6" ht="11.45" customHeight="1" x14ac:dyDescent="0.2">
      <c r="A855" s="312" t="s">
        <v>85</v>
      </c>
      <c r="B855" s="313" t="s">
        <v>84</v>
      </c>
      <c r="C855" s="312" t="s">
        <v>15</v>
      </c>
      <c r="D855" s="314">
        <v>1587</v>
      </c>
      <c r="E855" s="313" t="s">
        <v>937</v>
      </c>
      <c r="F855" s="315" t="str">
        <f>IF(IF(A855="","",COUNTIF(CONSOLIDADO!$A:$A,$A855))=0,"REVISAR","OK")</f>
        <v>OK</v>
      </c>
    </row>
    <row r="856" spans="1:6" ht="11.45" customHeight="1" x14ac:dyDescent="0.2">
      <c r="A856" s="312" t="s">
        <v>85</v>
      </c>
      <c r="B856" s="313" t="s">
        <v>84</v>
      </c>
      <c r="C856" s="312" t="s">
        <v>15</v>
      </c>
      <c r="D856" s="314">
        <v>1599</v>
      </c>
      <c r="E856" s="313" t="s">
        <v>934</v>
      </c>
      <c r="F856" s="315" t="str">
        <f>IF(IF(A856="","",COUNTIF(CONSOLIDADO!$A:$A,$A856))=0,"REVISAR","OK")</f>
        <v>OK</v>
      </c>
    </row>
    <row r="857" spans="1:6" ht="11.45" customHeight="1" x14ac:dyDescent="0.2">
      <c r="A857" s="312" t="s">
        <v>85</v>
      </c>
      <c r="B857" s="313" t="s">
        <v>84</v>
      </c>
      <c r="C857" s="312" t="s">
        <v>15</v>
      </c>
      <c r="D857" s="314">
        <v>1600</v>
      </c>
      <c r="E857" s="313" t="s">
        <v>933</v>
      </c>
      <c r="F857" s="315" t="str">
        <f>IF(IF(A857="","",COUNTIF(CONSOLIDADO!$A:$A,$A857))=0,"REVISAR","OK")</f>
        <v>OK</v>
      </c>
    </row>
    <row r="858" spans="1:6" ht="11.45" customHeight="1" x14ac:dyDescent="0.2">
      <c r="A858" s="312" t="s">
        <v>85</v>
      </c>
      <c r="B858" s="313" t="s">
        <v>84</v>
      </c>
      <c r="C858" s="312" t="s">
        <v>15</v>
      </c>
      <c r="D858" s="314">
        <v>1600</v>
      </c>
      <c r="E858" s="313" t="s">
        <v>929</v>
      </c>
      <c r="F858" s="315" t="str">
        <f>IF(IF(A858="","",COUNTIF(CONSOLIDADO!$A:$A,$A858))=0,"REVISAR","OK")</f>
        <v>OK</v>
      </c>
    </row>
    <row r="859" spans="1:6" ht="11.45" customHeight="1" x14ac:dyDescent="0.2">
      <c r="A859" s="312" t="s">
        <v>85</v>
      </c>
      <c r="B859" s="313" t="s">
        <v>84</v>
      </c>
      <c r="C859" s="312" t="s">
        <v>15</v>
      </c>
      <c r="D859" s="314">
        <v>1600</v>
      </c>
      <c r="E859" s="313" t="s">
        <v>946</v>
      </c>
      <c r="F859" s="315" t="str">
        <f>IF(IF(A859="","",COUNTIF(CONSOLIDADO!$A:$A,$A859))=0,"REVISAR","OK")</f>
        <v>OK</v>
      </c>
    </row>
    <row r="860" spans="1:6" ht="11.45" customHeight="1" x14ac:dyDescent="0.2">
      <c r="A860" s="312" t="s">
        <v>85</v>
      </c>
      <c r="B860" s="313" t="s">
        <v>84</v>
      </c>
      <c r="C860" s="312" t="s">
        <v>15</v>
      </c>
      <c r="D860" s="314">
        <v>1600</v>
      </c>
      <c r="E860" s="313" t="s">
        <v>943</v>
      </c>
      <c r="F860" s="315" t="str">
        <f>IF(IF(A860="","",COUNTIF(CONSOLIDADO!$A:$A,$A860))=0,"REVISAR","OK")</f>
        <v>OK</v>
      </c>
    </row>
    <row r="861" spans="1:6" ht="11.45" customHeight="1" x14ac:dyDescent="0.2">
      <c r="A861" s="312" t="s">
        <v>85</v>
      </c>
      <c r="B861" s="313" t="s">
        <v>84</v>
      </c>
      <c r="C861" s="312" t="s">
        <v>15</v>
      </c>
      <c r="D861" s="314">
        <v>1761</v>
      </c>
      <c r="E861" s="313" t="s">
        <v>999</v>
      </c>
      <c r="F861" s="315" t="str">
        <f>IF(IF(A861="","",COUNTIF(CONSOLIDADO!$A:$A,$A861))=0,"REVISAR","OK")</f>
        <v>OK</v>
      </c>
    </row>
    <row r="862" spans="1:6" ht="11.45" customHeight="1" x14ac:dyDescent="0.2">
      <c r="A862" s="312" t="s">
        <v>85</v>
      </c>
      <c r="B862" s="313" t="s">
        <v>84</v>
      </c>
      <c r="C862" s="312" t="s">
        <v>15</v>
      </c>
      <c r="D862" s="314">
        <v>1789</v>
      </c>
      <c r="E862" s="313" t="s">
        <v>945</v>
      </c>
      <c r="F862" s="315" t="str">
        <f>IF(IF(A862="","",COUNTIF(CONSOLIDADO!$A:$A,$A862))=0,"REVISAR","OK")</f>
        <v>OK</v>
      </c>
    </row>
    <row r="863" spans="1:6" ht="11.45" customHeight="1" x14ac:dyDescent="0.2">
      <c r="A863" s="312" t="s">
        <v>85</v>
      </c>
      <c r="B863" s="313" t="s">
        <v>84</v>
      </c>
      <c r="C863" s="312" t="s">
        <v>15</v>
      </c>
      <c r="D863" s="314">
        <v>1800</v>
      </c>
      <c r="E863" s="313" t="s">
        <v>938</v>
      </c>
      <c r="F863" s="315" t="str">
        <f>IF(IF(A863="","",COUNTIF(CONSOLIDADO!$A:$A,$A863))=0,"REVISAR","OK")</f>
        <v>OK</v>
      </c>
    </row>
    <row r="864" spans="1:6" ht="11.45" customHeight="1" x14ac:dyDescent="0.2">
      <c r="A864" s="312" t="s">
        <v>85</v>
      </c>
      <c r="B864" s="313" t="s">
        <v>84</v>
      </c>
      <c r="C864" s="312" t="s">
        <v>15</v>
      </c>
      <c r="D864" s="314">
        <v>2000</v>
      </c>
      <c r="E864" s="313" t="s">
        <v>2274</v>
      </c>
      <c r="F864" s="315" t="str">
        <f>IF(IF(A864="","",COUNTIF(CONSOLIDADO!$A:$A,$A864))=0,"REVISAR","OK")</f>
        <v>OK</v>
      </c>
    </row>
    <row r="865" spans="1:6" ht="11.45" customHeight="1" x14ac:dyDescent="0.2">
      <c r="A865" s="312" t="s">
        <v>85</v>
      </c>
      <c r="B865" s="313" t="s">
        <v>84</v>
      </c>
      <c r="C865" s="312" t="s">
        <v>15</v>
      </c>
      <c r="D865" s="314">
        <v>2023</v>
      </c>
      <c r="E865" s="313" t="s">
        <v>1115</v>
      </c>
      <c r="F865" s="315" t="str">
        <f>IF(IF(A865="","",COUNTIF(CONSOLIDADO!$A:$A,$A865))=0,"REVISAR","OK")</f>
        <v>OK</v>
      </c>
    </row>
    <row r="866" spans="1:6" ht="11.45" customHeight="1" x14ac:dyDescent="0.2">
      <c r="A866" s="312" t="s">
        <v>85</v>
      </c>
      <c r="B866" s="313" t="s">
        <v>84</v>
      </c>
      <c r="C866" s="312" t="s">
        <v>15</v>
      </c>
      <c r="D866" s="314">
        <v>2023</v>
      </c>
      <c r="E866" s="313" t="s">
        <v>2258</v>
      </c>
      <c r="F866" s="315" t="str">
        <f>IF(IF(A866="","",COUNTIF(CONSOLIDADO!$A:$A,$A866))=0,"REVISAR","OK")</f>
        <v>OK</v>
      </c>
    </row>
    <row r="867" spans="1:6" ht="11.45" customHeight="1" x14ac:dyDescent="0.2">
      <c r="A867" s="312" t="s">
        <v>85</v>
      </c>
      <c r="B867" s="313" t="s">
        <v>84</v>
      </c>
      <c r="C867" s="312" t="s">
        <v>15</v>
      </c>
      <c r="D867" s="314">
        <v>2150</v>
      </c>
      <c r="E867" s="313" t="s">
        <v>2276</v>
      </c>
      <c r="F867" s="315" t="str">
        <f>IF(IF(A867="","",COUNTIF(CONSOLIDADO!$A:$A,$A867))=0,"REVISAR","OK")</f>
        <v>OK</v>
      </c>
    </row>
    <row r="868" spans="1:6" ht="11.45" customHeight="1" x14ac:dyDescent="0.2">
      <c r="A868" s="312" t="s">
        <v>85</v>
      </c>
      <c r="B868" s="313" t="s">
        <v>84</v>
      </c>
      <c r="C868" s="312" t="s">
        <v>15</v>
      </c>
      <c r="D868" s="314">
        <v>4400</v>
      </c>
      <c r="E868" s="313" t="s">
        <v>2232</v>
      </c>
      <c r="F868" s="315" t="str">
        <f>IF(IF(A868="","",COUNTIF(CONSOLIDADO!$A:$A,$A868))=0,"REVISAR","OK")</f>
        <v>OK</v>
      </c>
    </row>
    <row r="869" spans="1:6" ht="11.45" customHeight="1" x14ac:dyDescent="0.2">
      <c r="A869" s="312" t="s">
        <v>85</v>
      </c>
      <c r="B869" s="313" t="s">
        <v>84</v>
      </c>
      <c r="C869" s="312" t="s">
        <v>15</v>
      </c>
      <c r="D869" s="314">
        <v>9877</v>
      </c>
      <c r="E869" s="313" t="s">
        <v>2176</v>
      </c>
      <c r="F869" s="315" t="str">
        <f>IF(IF(A869="","",COUNTIF(CONSOLIDADO!$A:$A,$A869))=0,"REVISAR","OK")</f>
        <v>OK</v>
      </c>
    </row>
    <row r="870" spans="1:6" ht="11.45" customHeight="1" x14ac:dyDescent="0.2">
      <c r="A870" s="312" t="s">
        <v>879</v>
      </c>
      <c r="B870" s="313" t="s">
        <v>227</v>
      </c>
      <c r="C870" s="312" t="s">
        <v>111</v>
      </c>
      <c r="D870" s="314">
        <v>595</v>
      </c>
      <c r="E870" s="313" t="s">
        <v>982</v>
      </c>
      <c r="F870" s="315" t="str">
        <f>IF(IF(A870="","",COUNTIF(CONSOLIDADO!$A:$A,$A870))=0,"REVISAR","OK")</f>
        <v>OK</v>
      </c>
    </row>
    <row r="871" spans="1:6" ht="11.45" customHeight="1" x14ac:dyDescent="0.2">
      <c r="A871" s="312" t="s">
        <v>163</v>
      </c>
      <c r="B871" s="313" t="s">
        <v>162</v>
      </c>
      <c r="C871" s="312" t="s">
        <v>15</v>
      </c>
      <c r="D871" s="314">
        <v>2380</v>
      </c>
      <c r="E871" s="313" t="s">
        <v>945</v>
      </c>
      <c r="F871" s="315" t="str">
        <f>IF(IF(A871="","",COUNTIF(CONSOLIDADO!$A:$A,$A871))=0,"REVISAR","OK")</f>
        <v>OK</v>
      </c>
    </row>
    <row r="872" spans="1:6" ht="11.45" customHeight="1" x14ac:dyDescent="0.2">
      <c r="A872" s="312" t="s">
        <v>230</v>
      </c>
      <c r="B872" s="313" t="s">
        <v>229</v>
      </c>
      <c r="C872" s="312" t="s">
        <v>947</v>
      </c>
      <c r="D872" s="314">
        <v>2000</v>
      </c>
      <c r="E872" s="313" t="s">
        <v>937</v>
      </c>
      <c r="F872" s="315" t="str">
        <f>IF(IF(A872="","",COUNTIF(CONSOLIDADO!$A:$A,$A872))=0,"REVISAR","OK")</f>
        <v>OK</v>
      </c>
    </row>
    <row r="873" spans="1:6" ht="11.45" customHeight="1" x14ac:dyDescent="0.2">
      <c r="A873" s="312" t="s">
        <v>230</v>
      </c>
      <c r="B873" s="313" t="s">
        <v>229</v>
      </c>
      <c r="C873" s="312" t="s">
        <v>947</v>
      </c>
      <c r="D873" s="314">
        <v>2660</v>
      </c>
      <c r="E873" s="313" t="s">
        <v>934</v>
      </c>
      <c r="F873" s="315" t="str">
        <f>IF(IF(A873="","",COUNTIF(CONSOLIDADO!$A:$A,$A873))=0,"REVISAR","OK")</f>
        <v>OK</v>
      </c>
    </row>
    <row r="874" spans="1:6" ht="11.45" customHeight="1" x14ac:dyDescent="0.2">
      <c r="A874" s="312" t="s">
        <v>87</v>
      </c>
      <c r="B874" s="313" t="s">
        <v>22</v>
      </c>
      <c r="C874" s="312" t="s">
        <v>15</v>
      </c>
      <c r="D874" s="314">
        <v>3094</v>
      </c>
      <c r="E874" s="313" t="s">
        <v>939</v>
      </c>
      <c r="F874" s="315" t="str">
        <f>IF(IF(A874="","",COUNTIF(CONSOLIDADO!$A:$A,$A874))=0,"REVISAR","OK")</f>
        <v>OK</v>
      </c>
    </row>
    <row r="875" spans="1:6" ht="11.45" customHeight="1" x14ac:dyDescent="0.2">
      <c r="A875" s="312" t="s">
        <v>87</v>
      </c>
      <c r="B875" s="313" t="s">
        <v>22</v>
      </c>
      <c r="C875" s="312" t="s">
        <v>15</v>
      </c>
      <c r="D875" s="314">
        <v>3094</v>
      </c>
      <c r="E875" s="313" t="s">
        <v>929</v>
      </c>
      <c r="F875" s="315" t="str">
        <f>IF(IF(A875="","",COUNTIF(CONSOLIDADO!$A:$A,$A875))=0,"REVISAR","OK")</f>
        <v>OK</v>
      </c>
    </row>
    <row r="876" spans="1:6" ht="11.45" customHeight="1" x14ac:dyDescent="0.2">
      <c r="A876" s="312" t="s">
        <v>87</v>
      </c>
      <c r="B876" s="313" t="s">
        <v>22</v>
      </c>
      <c r="C876" s="312" t="s">
        <v>15</v>
      </c>
      <c r="D876" s="314">
        <v>3094</v>
      </c>
      <c r="E876" s="313" t="s">
        <v>2146</v>
      </c>
      <c r="F876" s="315" t="str">
        <f>IF(IF(A876="","",COUNTIF(CONSOLIDADO!$A:$A,$A876))=0,"REVISAR","OK")</f>
        <v>OK</v>
      </c>
    </row>
    <row r="877" spans="1:6" ht="11.45" customHeight="1" x14ac:dyDescent="0.2">
      <c r="A877" s="312" t="s">
        <v>87</v>
      </c>
      <c r="B877" s="313" t="s">
        <v>22</v>
      </c>
      <c r="C877" s="312" t="s">
        <v>15</v>
      </c>
      <c r="D877" s="314">
        <v>3094</v>
      </c>
      <c r="E877" s="313" t="s">
        <v>982</v>
      </c>
      <c r="F877" s="315" t="str">
        <f>IF(IF(A877="","",COUNTIF(CONSOLIDADO!$A:$A,$A877))=0,"REVISAR","OK")</f>
        <v>OK</v>
      </c>
    </row>
    <row r="878" spans="1:6" ht="11.45" customHeight="1" x14ac:dyDescent="0.2">
      <c r="A878" s="312" t="s">
        <v>87</v>
      </c>
      <c r="B878" s="313" t="s">
        <v>22</v>
      </c>
      <c r="C878" s="312" t="s">
        <v>15</v>
      </c>
      <c r="D878" s="314">
        <v>3633</v>
      </c>
      <c r="E878" s="313" t="s">
        <v>2233</v>
      </c>
      <c r="F878" s="315" t="str">
        <f>IF(IF(A878="","",COUNTIF(CONSOLIDADO!$A:$A,$A878))=0,"REVISAR","OK")</f>
        <v>OK</v>
      </c>
    </row>
    <row r="879" spans="1:6" ht="11.45" customHeight="1" x14ac:dyDescent="0.2">
      <c r="A879" s="312" t="s">
        <v>87</v>
      </c>
      <c r="B879" s="313" t="s">
        <v>22</v>
      </c>
      <c r="C879" s="312" t="s">
        <v>15</v>
      </c>
      <c r="D879" s="314">
        <v>4000</v>
      </c>
      <c r="E879" s="313" t="s">
        <v>2276</v>
      </c>
      <c r="F879" s="315" t="str">
        <f>IF(IF(A879="","",COUNTIF(CONSOLIDADO!$A:$A,$A879))=0,"REVISAR","OK")</f>
        <v>OK</v>
      </c>
    </row>
    <row r="880" spans="1:6" ht="11.45" customHeight="1" x14ac:dyDescent="0.2">
      <c r="A880" s="312" t="s">
        <v>87</v>
      </c>
      <c r="B880" s="313" t="s">
        <v>22</v>
      </c>
      <c r="C880" s="312" t="s">
        <v>15</v>
      </c>
      <c r="D880" s="314">
        <v>4026</v>
      </c>
      <c r="E880" s="313" t="s">
        <v>949</v>
      </c>
      <c r="F880" s="315" t="str">
        <f>IF(IF(A880="","",COUNTIF(CONSOLIDADO!$A:$A,$A880))=0,"REVISAR","OK")</f>
        <v>OK</v>
      </c>
    </row>
    <row r="881" spans="1:6" ht="11.45" customHeight="1" x14ac:dyDescent="0.2">
      <c r="A881" s="312" t="s">
        <v>87</v>
      </c>
      <c r="B881" s="313" t="s">
        <v>22</v>
      </c>
      <c r="C881" s="312" t="s">
        <v>15</v>
      </c>
      <c r="D881" s="314">
        <v>4070</v>
      </c>
      <c r="E881" s="313" t="s">
        <v>933</v>
      </c>
      <c r="F881" s="315" t="str">
        <f>IF(IF(A881="","",COUNTIF(CONSOLIDADO!$A:$A,$A881))=0,"REVISAR","OK")</f>
        <v>OK</v>
      </c>
    </row>
    <row r="882" spans="1:6" ht="11.45" customHeight="1" x14ac:dyDescent="0.2">
      <c r="A882" s="312" t="s">
        <v>1042</v>
      </c>
      <c r="B882" s="313" t="s">
        <v>22</v>
      </c>
      <c r="C882" s="312" t="s">
        <v>906</v>
      </c>
      <c r="D882" s="314">
        <v>960</v>
      </c>
      <c r="E882" s="313" t="s">
        <v>2073</v>
      </c>
      <c r="F882" s="315" t="str">
        <f>IF(IF(A882="","",COUNTIF(CONSOLIDADO!$A:$A,$A882))=0,"REVISAR","OK")</f>
        <v>OK</v>
      </c>
    </row>
    <row r="883" spans="1:6" ht="11.45" customHeight="1" x14ac:dyDescent="0.2">
      <c r="A883" s="312" t="s">
        <v>1042</v>
      </c>
      <c r="B883" s="313" t="s">
        <v>22</v>
      </c>
      <c r="C883" s="312" t="s">
        <v>906</v>
      </c>
      <c r="D883" s="314">
        <v>2500</v>
      </c>
      <c r="E883" s="313" t="s">
        <v>2274</v>
      </c>
      <c r="F883" s="315" t="str">
        <f>IF(IF(A883="","",COUNTIF(CONSOLIDADO!$A:$A,$A883))=0,"REVISAR","OK")</f>
        <v>OK</v>
      </c>
    </row>
    <row r="884" spans="1:6" ht="11.45" customHeight="1" x14ac:dyDescent="0.2">
      <c r="A884" s="312" t="s">
        <v>1042</v>
      </c>
      <c r="B884" s="313" t="s">
        <v>22</v>
      </c>
      <c r="C884" s="312" t="s">
        <v>906</v>
      </c>
      <c r="D884" s="314">
        <v>3451</v>
      </c>
      <c r="E884" s="313" t="s">
        <v>929</v>
      </c>
      <c r="F884" s="315" t="str">
        <f>IF(IF(A884="","",COUNTIF(CONSOLIDADO!$A:$A,$A884))=0,"REVISAR","OK")</f>
        <v>OK</v>
      </c>
    </row>
    <row r="885" spans="1:6" ht="11.45" customHeight="1" x14ac:dyDescent="0.2">
      <c r="A885" s="312" t="s">
        <v>1042</v>
      </c>
      <c r="B885" s="313" t="s">
        <v>22</v>
      </c>
      <c r="C885" s="312" t="s">
        <v>906</v>
      </c>
      <c r="D885" s="314">
        <v>3990</v>
      </c>
      <c r="E885" s="313" t="s">
        <v>2176</v>
      </c>
      <c r="F885" s="315" t="str">
        <f>IF(IF(A885="","",COUNTIF(CONSOLIDADO!$A:$A,$A885))=0,"REVISAR","OK")</f>
        <v>OK</v>
      </c>
    </row>
    <row r="886" spans="1:6" ht="11.45" customHeight="1" x14ac:dyDescent="0.2">
      <c r="A886" s="312" t="s">
        <v>200</v>
      </c>
      <c r="B886" s="313" t="s">
        <v>199</v>
      </c>
      <c r="C886" s="312" t="s">
        <v>15</v>
      </c>
      <c r="D886" s="314">
        <v>476</v>
      </c>
      <c r="E886" s="313" t="s">
        <v>2233</v>
      </c>
      <c r="F886" s="315" t="str">
        <f>IF(IF(A886="","",COUNTIF(CONSOLIDADO!$A:$A,$A886))=0,"REVISAR","OK")</f>
        <v>OK</v>
      </c>
    </row>
    <row r="887" spans="1:6" ht="11.45" customHeight="1" x14ac:dyDescent="0.2">
      <c r="A887" s="312" t="s">
        <v>200</v>
      </c>
      <c r="B887" s="313" t="s">
        <v>199</v>
      </c>
      <c r="C887" s="312" t="s">
        <v>15</v>
      </c>
      <c r="D887" s="314">
        <v>499</v>
      </c>
      <c r="E887" s="313" t="s">
        <v>982</v>
      </c>
      <c r="F887" s="315" t="str">
        <f>IF(IF(A887="","",COUNTIF(CONSOLIDADO!$A:$A,$A887))=0,"REVISAR","OK")</f>
        <v>OK</v>
      </c>
    </row>
    <row r="888" spans="1:6" ht="11.45" customHeight="1" x14ac:dyDescent="0.2">
      <c r="A888" s="312" t="s">
        <v>200</v>
      </c>
      <c r="B888" s="313" t="s">
        <v>199</v>
      </c>
      <c r="C888" s="312" t="s">
        <v>15</v>
      </c>
      <c r="D888" s="314">
        <v>600</v>
      </c>
      <c r="E888" s="313" t="s">
        <v>944</v>
      </c>
      <c r="F888" s="315" t="str">
        <f>IF(IF(A888="","",COUNTIF(CONSOLIDADO!$A:$A,$A888))=0,"REVISAR","OK")</f>
        <v>OK</v>
      </c>
    </row>
    <row r="889" spans="1:6" ht="11.45" customHeight="1" x14ac:dyDescent="0.2">
      <c r="A889" s="312" t="s">
        <v>200</v>
      </c>
      <c r="B889" s="313" t="s">
        <v>199</v>
      </c>
      <c r="C889" s="312" t="s">
        <v>15</v>
      </c>
      <c r="D889" s="314">
        <v>680</v>
      </c>
      <c r="E889" s="313" t="s">
        <v>937</v>
      </c>
      <c r="F889" s="315" t="str">
        <f>IF(IF(A889="","",COUNTIF(CONSOLIDADO!$A:$A,$A889))=0,"REVISAR","OK")</f>
        <v>OK</v>
      </c>
    </row>
    <row r="890" spans="1:6" ht="11.45" customHeight="1" x14ac:dyDescent="0.2">
      <c r="A890" s="312" t="s">
        <v>200</v>
      </c>
      <c r="B890" s="313" t="s">
        <v>199</v>
      </c>
      <c r="C890" s="312" t="s">
        <v>15</v>
      </c>
      <c r="D890" s="314">
        <v>720</v>
      </c>
      <c r="E890" s="313" t="s">
        <v>2329</v>
      </c>
      <c r="F890" s="315" t="str">
        <f>IF(IF(A890="","",COUNTIF(CONSOLIDADO!$A:$A,$A890))=0,"REVISAR","OK")</f>
        <v>OK</v>
      </c>
    </row>
    <row r="891" spans="1:6" ht="11.45" customHeight="1" x14ac:dyDescent="0.2">
      <c r="A891" s="312" t="s">
        <v>200</v>
      </c>
      <c r="B891" s="313" t="s">
        <v>199</v>
      </c>
      <c r="C891" s="312" t="s">
        <v>15</v>
      </c>
      <c r="D891" s="314">
        <v>750</v>
      </c>
      <c r="E891" s="313" t="s">
        <v>951</v>
      </c>
      <c r="F891" s="315" t="str">
        <f>IF(IF(A891="","",COUNTIF(CONSOLIDADO!$A:$A,$A891))=0,"REVISAR","OK")</f>
        <v>OK</v>
      </c>
    </row>
    <row r="892" spans="1:6" ht="11.45" customHeight="1" x14ac:dyDescent="0.2">
      <c r="A892" s="312" t="s">
        <v>200</v>
      </c>
      <c r="B892" s="313" t="s">
        <v>199</v>
      </c>
      <c r="C892" s="312" t="s">
        <v>15</v>
      </c>
      <c r="D892" s="314">
        <v>773</v>
      </c>
      <c r="E892" s="313" t="s">
        <v>1115</v>
      </c>
      <c r="F892" s="315" t="str">
        <f>IF(IF(A892="","",COUNTIF(CONSOLIDADO!$A:$A,$A892))=0,"REVISAR","OK")</f>
        <v>OK</v>
      </c>
    </row>
    <row r="893" spans="1:6" ht="11.45" customHeight="1" x14ac:dyDescent="0.2">
      <c r="A893" s="312" t="s">
        <v>200</v>
      </c>
      <c r="B893" s="313" t="s">
        <v>199</v>
      </c>
      <c r="C893" s="312" t="s">
        <v>15</v>
      </c>
      <c r="D893" s="314">
        <v>800</v>
      </c>
      <c r="E893" s="313" t="s">
        <v>2073</v>
      </c>
      <c r="F893" s="315" t="str">
        <f>IF(IF(A893="","",COUNTIF(CONSOLIDADO!$A:$A,$A893))=0,"REVISAR","OK")</f>
        <v>OK</v>
      </c>
    </row>
    <row r="894" spans="1:6" ht="11.45" customHeight="1" x14ac:dyDescent="0.2">
      <c r="A894" s="312" t="s">
        <v>200</v>
      </c>
      <c r="B894" s="313" t="s">
        <v>199</v>
      </c>
      <c r="C894" s="312" t="s">
        <v>15</v>
      </c>
      <c r="D894" s="314">
        <v>800</v>
      </c>
      <c r="E894" s="313" t="s">
        <v>938</v>
      </c>
      <c r="F894" s="315" t="str">
        <f>IF(IF(A894="","",COUNTIF(CONSOLIDADO!$A:$A,$A894))=0,"REVISAR","OK")</f>
        <v>OK</v>
      </c>
    </row>
    <row r="895" spans="1:6" ht="11.45" customHeight="1" x14ac:dyDescent="0.2">
      <c r="A895" s="312" t="s">
        <v>200</v>
      </c>
      <c r="B895" s="313" t="s">
        <v>199</v>
      </c>
      <c r="C895" s="312" t="s">
        <v>15</v>
      </c>
      <c r="D895" s="314">
        <v>833</v>
      </c>
      <c r="E895" s="313" t="s">
        <v>982</v>
      </c>
      <c r="F895" s="315" t="str">
        <f>IF(IF(A895="","",COUNTIF(CONSOLIDADO!$A:$A,$A895))=0,"REVISAR","OK")</f>
        <v>OK</v>
      </c>
    </row>
    <row r="896" spans="1:6" ht="11.45" customHeight="1" x14ac:dyDescent="0.2">
      <c r="A896" s="312" t="s">
        <v>200</v>
      </c>
      <c r="B896" s="313" t="s">
        <v>199</v>
      </c>
      <c r="C896" s="312" t="s">
        <v>15</v>
      </c>
      <c r="D896" s="314">
        <v>860</v>
      </c>
      <c r="E896" s="313" t="s">
        <v>936</v>
      </c>
      <c r="F896" s="315" t="str">
        <f>IF(IF(A896="","",COUNTIF(CONSOLIDADO!$A:$A,$A896))=0,"REVISAR","OK")</f>
        <v>OK</v>
      </c>
    </row>
    <row r="897" spans="1:6" ht="11.45" customHeight="1" x14ac:dyDescent="0.2">
      <c r="A897" s="312" t="s">
        <v>200</v>
      </c>
      <c r="B897" s="313" t="s">
        <v>199</v>
      </c>
      <c r="C897" s="312" t="s">
        <v>15</v>
      </c>
      <c r="D897" s="314">
        <v>899</v>
      </c>
      <c r="E897" s="313" t="s">
        <v>934</v>
      </c>
      <c r="F897" s="315" t="str">
        <f>IF(IF(A897="","",COUNTIF(CONSOLIDADO!$A:$A,$A897))=0,"REVISAR","OK")</f>
        <v>OK</v>
      </c>
    </row>
    <row r="898" spans="1:6" ht="11.45" customHeight="1" x14ac:dyDescent="0.2">
      <c r="A898" s="312" t="s">
        <v>200</v>
      </c>
      <c r="B898" s="313" t="s">
        <v>199</v>
      </c>
      <c r="C898" s="312" t="s">
        <v>15</v>
      </c>
      <c r="D898" s="314">
        <v>899</v>
      </c>
      <c r="E898" s="313" t="s">
        <v>943</v>
      </c>
      <c r="F898" s="315" t="str">
        <f>IF(IF(A898="","",COUNTIF(CONSOLIDADO!$A:$A,$A898))=0,"REVISAR","OK")</f>
        <v>OK</v>
      </c>
    </row>
    <row r="899" spans="1:6" ht="11.45" customHeight="1" x14ac:dyDescent="0.2">
      <c r="A899" s="312" t="s">
        <v>200</v>
      </c>
      <c r="B899" s="313" t="s">
        <v>199</v>
      </c>
      <c r="C899" s="312" t="s">
        <v>15</v>
      </c>
      <c r="D899" s="314">
        <v>916</v>
      </c>
      <c r="E899" s="313" t="s">
        <v>950</v>
      </c>
      <c r="F899" s="315" t="str">
        <f>IF(IF(A899="","",COUNTIF(CONSOLIDADO!$A:$A,$A899))=0,"REVISAR","OK")</f>
        <v>OK</v>
      </c>
    </row>
    <row r="900" spans="1:6" ht="11.45" customHeight="1" x14ac:dyDescent="0.2">
      <c r="A900" s="312" t="s">
        <v>200</v>
      </c>
      <c r="B900" s="313" t="s">
        <v>199</v>
      </c>
      <c r="C900" s="312" t="s">
        <v>15</v>
      </c>
      <c r="D900" s="314">
        <v>917</v>
      </c>
      <c r="E900" s="313" t="s">
        <v>2070</v>
      </c>
      <c r="F900" s="315" t="str">
        <f>IF(IF(A900="","",COUNTIF(CONSOLIDADO!$A:$A,$A900))=0,"REVISAR","OK")</f>
        <v>OK</v>
      </c>
    </row>
    <row r="901" spans="1:6" ht="11.45" customHeight="1" x14ac:dyDescent="0.2">
      <c r="A901" s="312" t="s">
        <v>200</v>
      </c>
      <c r="B901" s="313" t="s">
        <v>199</v>
      </c>
      <c r="C901" s="312" t="s">
        <v>15</v>
      </c>
      <c r="D901" s="314">
        <v>917</v>
      </c>
      <c r="E901" s="313" t="s">
        <v>937</v>
      </c>
      <c r="F901" s="315" t="str">
        <f>IF(IF(A901="","",COUNTIF(CONSOLIDADO!$A:$A,$A901))=0,"REVISAR","OK")</f>
        <v>OK</v>
      </c>
    </row>
    <row r="902" spans="1:6" ht="11.45" customHeight="1" x14ac:dyDescent="0.2">
      <c r="A902" s="312" t="s">
        <v>200</v>
      </c>
      <c r="B902" s="313" t="s">
        <v>199</v>
      </c>
      <c r="C902" s="312" t="s">
        <v>15</v>
      </c>
      <c r="D902" s="314">
        <v>969</v>
      </c>
      <c r="E902" s="313" t="s">
        <v>945</v>
      </c>
      <c r="F902" s="315" t="str">
        <f>IF(IF(A902="","",COUNTIF(CONSOLIDADO!$A:$A,$A902))=0,"REVISAR","OK")</f>
        <v>OK</v>
      </c>
    </row>
    <row r="903" spans="1:6" ht="11.45" customHeight="1" x14ac:dyDescent="0.2">
      <c r="A903" s="312" t="s">
        <v>200</v>
      </c>
      <c r="B903" s="313" t="s">
        <v>199</v>
      </c>
      <c r="C903" s="312" t="s">
        <v>15</v>
      </c>
      <c r="D903" s="314">
        <v>970</v>
      </c>
      <c r="E903" s="313" t="s">
        <v>945</v>
      </c>
      <c r="F903" s="315" t="str">
        <f>IF(IF(A903="","",COUNTIF(CONSOLIDADO!$A:$A,$A903))=0,"REVISAR","OK")</f>
        <v>OK</v>
      </c>
    </row>
    <row r="904" spans="1:6" ht="11.45" customHeight="1" x14ac:dyDescent="0.2">
      <c r="A904" s="312" t="s">
        <v>200</v>
      </c>
      <c r="B904" s="313" t="s">
        <v>199</v>
      </c>
      <c r="C904" s="312" t="s">
        <v>15</v>
      </c>
      <c r="D904" s="314">
        <v>1000</v>
      </c>
      <c r="E904" s="313" t="s">
        <v>2274</v>
      </c>
      <c r="F904" s="315" t="str">
        <f>IF(IF(A904="","",COUNTIF(CONSOLIDADO!$A:$A,$A904))=0,"REVISAR","OK")</f>
        <v>OK</v>
      </c>
    </row>
    <row r="905" spans="1:6" ht="11.45" customHeight="1" x14ac:dyDescent="0.2">
      <c r="A905" s="312" t="s">
        <v>200</v>
      </c>
      <c r="B905" s="313" t="s">
        <v>199</v>
      </c>
      <c r="C905" s="312" t="s">
        <v>15</v>
      </c>
      <c r="D905" s="314">
        <v>1059</v>
      </c>
      <c r="E905" s="313" t="s">
        <v>999</v>
      </c>
      <c r="F905" s="315" t="str">
        <f>IF(IF(A905="","",COUNTIF(CONSOLIDADO!$A:$A,$A905))=0,"REVISAR","OK")</f>
        <v>OK</v>
      </c>
    </row>
    <row r="906" spans="1:6" ht="11.45" customHeight="1" x14ac:dyDescent="0.2">
      <c r="A906" s="312" t="s">
        <v>200</v>
      </c>
      <c r="B906" s="313" t="s">
        <v>199</v>
      </c>
      <c r="C906" s="312" t="s">
        <v>15</v>
      </c>
      <c r="D906" s="314">
        <v>1200</v>
      </c>
      <c r="E906" s="313" t="s">
        <v>940</v>
      </c>
      <c r="F906" s="315" t="str">
        <f>IF(IF(A906="","",COUNTIF(CONSOLIDADO!$A:$A,$A906))=0,"REVISAR","OK")</f>
        <v>OK</v>
      </c>
    </row>
    <row r="907" spans="1:6" ht="11.45" customHeight="1" x14ac:dyDescent="0.2">
      <c r="A907" s="312" t="s">
        <v>200</v>
      </c>
      <c r="B907" s="313" t="s">
        <v>199</v>
      </c>
      <c r="C907" s="312" t="s">
        <v>15</v>
      </c>
      <c r="D907" s="314">
        <v>1200</v>
      </c>
      <c r="E907" s="313" t="s">
        <v>974</v>
      </c>
      <c r="F907" s="315" t="str">
        <f>IF(IF(A907="","",COUNTIF(CONSOLIDADO!$A:$A,$A907))=0,"REVISAR","OK")</f>
        <v>OK</v>
      </c>
    </row>
    <row r="908" spans="1:6" ht="11.45" customHeight="1" x14ac:dyDescent="0.2">
      <c r="A908" s="312" t="s">
        <v>200</v>
      </c>
      <c r="B908" s="313" t="s">
        <v>199</v>
      </c>
      <c r="C908" s="312" t="s">
        <v>15</v>
      </c>
      <c r="D908" s="314">
        <v>1200</v>
      </c>
      <c r="E908" s="313" t="s">
        <v>976</v>
      </c>
      <c r="F908" s="315" t="str">
        <f>IF(IF(A908="","",COUNTIF(CONSOLIDADO!$A:$A,$A908))=0,"REVISAR","OK")</f>
        <v>OK</v>
      </c>
    </row>
    <row r="909" spans="1:6" ht="11.45" customHeight="1" x14ac:dyDescent="0.2">
      <c r="A909" s="312" t="s">
        <v>200</v>
      </c>
      <c r="B909" s="313" t="s">
        <v>199</v>
      </c>
      <c r="C909" s="312" t="s">
        <v>15</v>
      </c>
      <c r="D909" s="314">
        <v>1239</v>
      </c>
      <c r="E909" s="313" t="s">
        <v>937</v>
      </c>
      <c r="F909" s="315" t="str">
        <f>IF(IF(A909="","",COUNTIF(CONSOLIDADO!$A:$A,$A909))=0,"REVISAR","OK")</f>
        <v>OK</v>
      </c>
    </row>
    <row r="910" spans="1:6" ht="11.45" customHeight="1" x14ac:dyDescent="0.2">
      <c r="A910" s="312" t="s">
        <v>200</v>
      </c>
      <c r="B910" s="313" t="s">
        <v>199</v>
      </c>
      <c r="C910" s="312" t="s">
        <v>15</v>
      </c>
      <c r="D910" s="314">
        <v>1339</v>
      </c>
      <c r="E910" s="313" t="s">
        <v>948</v>
      </c>
      <c r="F910" s="315" t="str">
        <f>IF(IF(A910="","",COUNTIF(CONSOLIDADO!$A:$A,$A910))=0,"REVISAR","OK")</f>
        <v>OK</v>
      </c>
    </row>
    <row r="911" spans="1:6" ht="11.45" customHeight="1" x14ac:dyDescent="0.2">
      <c r="A911" s="312" t="s">
        <v>200</v>
      </c>
      <c r="B911" s="313" t="s">
        <v>199</v>
      </c>
      <c r="C911" s="312" t="s">
        <v>15</v>
      </c>
      <c r="D911" s="314">
        <v>1341</v>
      </c>
      <c r="E911" s="313" t="s">
        <v>933</v>
      </c>
      <c r="F911" s="315" t="str">
        <f>IF(IF(A911="","",COUNTIF(CONSOLIDADO!$A:$A,$A911))=0,"REVISAR","OK")</f>
        <v>OK</v>
      </c>
    </row>
    <row r="912" spans="1:6" ht="11.45" customHeight="1" x14ac:dyDescent="0.2">
      <c r="A912" s="312" t="s">
        <v>200</v>
      </c>
      <c r="B912" s="313" t="s">
        <v>199</v>
      </c>
      <c r="C912" s="312" t="s">
        <v>15</v>
      </c>
      <c r="D912" s="314">
        <v>1341</v>
      </c>
      <c r="E912" s="313" t="s">
        <v>929</v>
      </c>
      <c r="F912" s="315" t="str">
        <f>IF(IF(A912="","",COUNTIF(CONSOLIDADO!$A:$A,$A912))=0,"REVISAR","OK")</f>
        <v>OK</v>
      </c>
    </row>
    <row r="913" spans="1:6" ht="11.45" customHeight="1" x14ac:dyDescent="0.2">
      <c r="A913" s="312" t="s">
        <v>200</v>
      </c>
      <c r="B913" s="313" t="s">
        <v>199</v>
      </c>
      <c r="C913" s="312" t="s">
        <v>15</v>
      </c>
      <c r="D913" s="314">
        <v>1341</v>
      </c>
      <c r="E913" s="313" t="s">
        <v>946</v>
      </c>
      <c r="F913" s="315" t="str">
        <f>IF(IF(A913="","",COUNTIF(CONSOLIDADO!$A:$A,$A913))=0,"REVISAR","OK")</f>
        <v>OK</v>
      </c>
    </row>
    <row r="914" spans="1:6" ht="11.45" customHeight="1" x14ac:dyDescent="0.2">
      <c r="A914" s="312" t="s">
        <v>200</v>
      </c>
      <c r="B914" s="313" t="s">
        <v>199</v>
      </c>
      <c r="C914" s="312" t="s">
        <v>15</v>
      </c>
      <c r="D914" s="314">
        <v>1344</v>
      </c>
      <c r="E914" s="313" t="s">
        <v>932</v>
      </c>
      <c r="F914" s="315" t="str">
        <f>IF(IF(A914="","",COUNTIF(CONSOLIDADO!$A:$A,$A914))=0,"REVISAR","OK")</f>
        <v>OK</v>
      </c>
    </row>
    <row r="915" spans="1:6" ht="11.45" customHeight="1" x14ac:dyDescent="0.2">
      <c r="A915" s="312" t="s">
        <v>200</v>
      </c>
      <c r="B915" s="313" t="s">
        <v>199</v>
      </c>
      <c r="C915" s="312" t="s">
        <v>15</v>
      </c>
      <c r="D915" s="314">
        <v>1346</v>
      </c>
      <c r="E915" s="313" t="s">
        <v>2005</v>
      </c>
      <c r="F915" s="315" t="str">
        <f>IF(IF(A915="","",COUNTIF(CONSOLIDADO!$A:$A,$A915))=0,"REVISAR","OK")</f>
        <v>OK</v>
      </c>
    </row>
    <row r="916" spans="1:6" ht="11.45" customHeight="1" x14ac:dyDescent="0.2">
      <c r="A916" s="312" t="s">
        <v>200</v>
      </c>
      <c r="B916" s="313" t="s">
        <v>199</v>
      </c>
      <c r="C916" s="312" t="s">
        <v>15</v>
      </c>
      <c r="D916" s="314">
        <v>1346</v>
      </c>
      <c r="E916" s="313" t="s">
        <v>935</v>
      </c>
      <c r="F916" s="315" t="str">
        <f>IF(IF(A916="","",COUNTIF(CONSOLIDADO!$A:$A,$A916))=0,"REVISAR","OK")</f>
        <v>OK</v>
      </c>
    </row>
    <row r="917" spans="1:6" ht="11.45" customHeight="1" x14ac:dyDescent="0.2">
      <c r="A917" s="312" t="s">
        <v>200</v>
      </c>
      <c r="B917" s="313" t="s">
        <v>199</v>
      </c>
      <c r="C917" s="312" t="s">
        <v>15</v>
      </c>
      <c r="D917" s="314">
        <v>1346</v>
      </c>
      <c r="E917" s="313" t="s">
        <v>948</v>
      </c>
      <c r="F917" s="315" t="str">
        <f>IF(IF(A917="","",COUNTIF(CONSOLIDADO!$A:$A,$A917))=0,"REVISAR","OK")</f>
        <v>OK</v>
      </c>
    </row>
    <row r="918" spans="1:6" ht="11.45" customHeight="1" x14ac:dyDescent="0.2">
      <c r="A918" s="312" t="s">
        <v>200</v>
      </c>
      <c r="B918" s="313" t="s">
        <v>199</v>
      </c>
      <c r="C918" s="312" t="s">
        <v>15</v>
      </c>
      <c r="D918" s="314">
        <v>1346</v>
      </c>
      <c r="E918" s="313" t="s">
        <v>935</v>
      </c>
      <c r="F918" s="315" t="str">
        <f>IF(IF(A918="","",COUNTIF(CONSOLIDADO!$A:$A,$A918))=0,"REVISAR","OK")</f>
        <v>OK</v>
      </c>
    </row>
    <row r="919" spans="1:6" ht="11.45" customHeight="1" x14ac:dyDescent="0.2">
      <c r="A919" s="312" t="s">
        <v>200</v>
      </c>
      <c r="B919" s="313" t="s">
        <v>199</v>
      </c>
      <c r="C919" s="312" t="s">
        <v>15</v>
      </c>
      <c r="D919" s="314">
        <v>1346</v>
      </c>
      <c r="E919" s="313" t="s">
        <v>2238</v>
      </c>
      <c r="F919" s="315" t="str">
        <f>IF(IF(A919="","",COUNTIF(CONSOLIDADO!$A:$A,$A919))=0,"REVISAR","OK")</f>
        <v>OK</v>
      </c>
    </row>
    <row r="920" spans="1:6" ht="11.45" customHeight="1" x14ac:dyDescent="0.2">
      <c r="A920" s="312" t="s">
        <v>200</v>
      </c>
      <c r="B920" s="313" t="s">
        <v>199</v>
      </c>
      <c r="C920" s="312" t="s">
        <v>15</v>
      </c>
      <c r="D920" s="314">
        <v>1347</v>
      </c>
      <c r="E920" s="313" t="s">
        <v>935</v>
      </c>
      <c r="F920" s="315" t="str">
        <f>IF(IF(A920="","",COUNTIF(CONSOLIDADO!$A:$A,$A920))=0,"REVISAR","OK")</f>
        <v>OK</v>
      </c>
    </row>
    <row r="921" spans="1:6" ht="11.45" customHeight="1" x14ac:dyDescent="0.2">
      <c r="A921" s="312" t="s">
        <v>200</v>
      </c>
      <c r="B921" s="313" t="s">
        <v>199</v>
      </c>
      <c r="C921" s="312" t="s">
        <v>15</v>
      </c>
      <c r="D921" s="314">
        <v>1400</v>
      </c>
      <c r="E921" s="313" t="s">
        <v>938</v>
      </c>
      <c r="F921" s="315" t="str">
        <f>IF(IF(A921="","",COUNTIF(CONSOLIDADO!$A:$A,$A921))=0,"REVISAR","OK")</f>
        <v>OK</v>
      </c>
    </row>
    <row r="922" spans="1:6" ht="11.45" customHeight="1" x14ac:dyDescent="0.2">
      <c r="A922" s="312" t="s">
        <v>200</v>
      </c>
      <c r="B922" s="313" t="s">
        <v>199</v>
      </c>
      <c r="C922" s="312" t="s">
        <v>15</v>
      </c>
      <c r="D922" s="314">
        <v>1500</v>
      </c>
      <c r="E922" s="313" t="s">
        <v>2210</v>
      </c>
      <c r="F922" s="315" t="str">
        <f>IF(IF(A922="","",COUNTIF(CONSOLIDADO!$A:$A,$A922))=0,"REVISAR","OK")</f>
        <v>OK</v>
      </c>
    </row>
    <row r="923" spans="1:6" ht="11.45" customHeight="1" x14ac:dyDescent="0.2">
      <c r="A923" s="312" t="s">
        <v>200</v>
      </c>
      <c r="B923" s="313" t="s">
        <v>199</v>
      </c>
      <c r="C923" s="312" t="s">
        <v>15</v>
      </c>
      <c r="D923" s="314">
        <v>1500</v>
      </c>
      <c r="E923" s="313" t="s">
        <v>2211</v>
      </c>
      <c r="F923" s="315" t="str">
        <f>IF(IF(A923="","",COUNTIF(CONSOLIDADO!$A:$A,$A923))=0,"REVISAR","OK")</f>
        <v>OK</v>
      </c>
    </row>
    <row r="924" spans="1:6" ht="11.45" customHeight="1" x14ac:dyDescent="0.2">
      <c r="A924" s="312" t="s">
        <v>200</v>
      </c>
      <c r="B924" s="313" t="s">
        <v>199</v>
      </c>
      <c r="C924" s="312" t="s">
        <v>15</v>
      </c>
      <c r="D924" s="314">
        <v>1543</v>
      </c>
      <c r="E924" s="313" t="s">
        <v>930</v>
      </c>
      <c r="F924" s="315" t="str">
        <f>IF(IF(A924="","",COUNTIF(CONSOLIDADO!$A:$A,$A924))=0,"REVISAR","OK")</f>
        <v>OK</v>
      </c>
    </row>
    <row r="925" spans="1:6" ht="11.45" customHeight="1" x14ac:dyDescent="0.2">
      <c r="A925" s="312" t="s">
        <v>200</v>
      </c>
      <c r="B925" s="313" t="s">
        <v>199</v>
      </c>
      <c r="C925" s="312" t="s">
        <v>15</v>
      </c>
      <c r="D925" s="314">
        <v>1700</v>
      </c>
      <c r="E925" s="313" t="s">
        <v>2275</v>
      </c>
      <c r="F925" s="315" t="str">
        <f>IF(IF(A925="","",COUNTIF(CONSOLIDADO!$A:$A,$A925))=0,"REVISAR","OK")</f>
        <v>OK</v>
      </c>
    </row>
    <row r="926" spans="1:6" ht="11.45" customHeight="1" x14ac:dyDescent="0.2">
      <c r="A926" s="312" t="s">
        <v>200</v>
      </c>
      <c r="B926" s="313" t="s">
        <v>199</v>
      </c>
      <c r="C926" s="312" t="s">
        <v>15</v>
      </c>
      <c r="D926" s="314">
        <v>3500</v>
      </c>
      <c r="E926" s="313" t="s">
        <v>2232</v>
      </c>
      <c r="F926" s="315" t="str">
        <f>IF(IF(A926="","",COUNTIF(CONSOLIDADO!$A:$A,$A926))=0,"REVISAR","OK")</f>
        <v>OK</v>
      </c>
    </row>
    <row r="927" spans="1:6" ht="11.45" customHeight="1" x14ac:dyDescent="0.2">
      <c r="A927" s="312" t="s">
        <v>200</v>
      </c>
      <c r="B927" s="313" t="s">
        <v>199</v>
      </c>
      <c r="C927" s="312" t="s">
        <v>15</v>
      </c>
      <c r="D927" s="314">
        <v>3855</v>
      </c>
      <c r="E927" s="313" t="s">
        <v>2232</v>
      </c>
      <c r="F927" s="315" t="str">
        <f>IF(IF(A927="","",COUNTIF(CONSOLIDADO!$A:$A,$A927))=0,"REVISAR","OK")</f>
        <v>OK</v>
      </c>
    </row>
    <row r="928" spans="1:6" ht="11.45" customHeight="1" x14ac:dyDescent="0.2">
      <c r="A928" s="312" t="s">
        <v>200</v>
      </c>
      <c r="B928" s="313" t="s">
        <v>199</v>
      </c>
      <c r="C928" s="312" t="s">
        <v>15</v>
      </c>
      <c r="D928" s="314">
        <v>4400</v>
      </c>
      <c r="E928" s="313" t="s">
        <v>2232</v>
      </c>
      <c r="F928" s="315" t="str">
        <f>IF(IF(A928="","",COUNTIF(CONSOLIDADO!$A:$A,$A928))=0,"REVISAR","OK")</f>
        <v>OK</v>
      </c>
    </row>
    <row r="929" spans="1:6" ht="11.45" customHeight="1" x14ac:dyDescent="0.2">
      <c r="A929" s="312" t="s">
        <v>1043</v>
      </c>
      <c r="B929" s="313" t="s">
        <v>1044</v>
      </c>
      <c r="C929" s="312" t="s">
        <v>15</v>
      </c>
      <c r="D929" s="314">
        <v>1999</v>
      </c>
      <c r="E929" s="313" t="s">
        <v>949</v>
      </c>
      <c r="F929" s="315" t="str">
        <f>IF(IF(A929="","",COUNTIF(CONSOLIDADO!$A:$A,$A929))=0,"REVISAR","OK")</f>
        <v>OK</v>
      </c>
    </row>
    <row r="930" spans="1:6" ht="11.45" customHeight="1" x14ac:dyDescent="0.2">
      <c r="A930" s="312" t="s">
        <v>79</v>
      </c>
      <c r="B930" s="313" t="s">
        <v>16</v>
      </c>
      <c r="C930" s="312" t="s">
        <v>15</v>
      </c>
      <c r="D930" s="314">
        <v>654</v>
      </c>
      <c r="E930" s="313" t="s">
        <v>1115</v>
      </c>
      <c r="F930" s="315" t="str">
        <f>IF(IF(A930="","",COUNTIF(CONSOLIDADO!$A:$A,$A930))=0,"REVISAR","OK")</f>
        <v>OK</v>
      </c>
    </row>
    <row r="931" spans="1:6" ht="11.45" customHeight="1" x14ac:dyDescent="0.2">
      <c r="A931" s="312" t="s">
        <v>79</v>
      </c>
      <c r="B931" s="313" t="s">
        <v>16</v>
      </c>
      <c r="C931" s="312" t="s">
        <v>15</v>
      </c>
      <c r="D931" s="314">
        <v>714</v>
      </c>
      <c r="E931" s="313" t="s">
        <v>2258</v>
      </c>
      <c r="F931" s="315" t="str">
        <f>IF(IF(A931="","",COUNTIF(CONSOLIDADO!$A:$A,$A931))=0,"REVISAR","OK")</f>
        <v>OK</v>
      </c>
    </row>
    <row r="932" spans="1:6" ht="11.45" customHeight="1" x14ac:dyDescent="0.2">
      <c r="A932" s="312" t="s">
        <v>79</v>
      </c>
      <c r="B932" s="313" t="s">
        <v>16</v>
      </c>
      <c r="C932" s="312" t="s">
        <v>15</v>
      </c>
      <c r="D932" s="314">
        <v>714</v>
      </c>
      <c r="E932" s="313" t="s">
        <v>982</v>
      </c>
      <c r="F932" s="315" t="str">
        <f>IF(IF(A932="","",COUNTIF(CONSOLIDADO!$A:$A,$A932))=0,"REVISAR","OK")</f>
        <v>OK</v>
      </c>
    </row>
    <row r="933" spans="1:6" ht="11.45" customHeight="1" x14ac:dyDescent="0.2">
      <c r="A933" s="312" t="s">
        <v>79</v>
      </c>
      <c r="B933" s="313" t="s">
        <v>16</v>
      </c>
      <c r="C933" s="312" t="s">
        <v>15</v>
      </c>
      <c r="D933" s="314">
        <v>773</v>
      </c>
      <c r="E933" s="313" t="s">
        <v>939</v>
      </c>
      <c r="F933" s="315" t="str">
        <f>IF(IF(A933="","",COUNTIF(CONSOLIDADO!$A:$A,$A933))=0,"REVISAR","OK")</f>
        <v>OK</v>
      </c>
    </row>
    <row r="934" spans="1:6" ht="11.45" customHeight="1" x14ac:dyDescent="0.2">
      <c r="A934" s="312" t="s">
        <v>79</v>
      </c>
      <c r="B934" s="313" t="s">
        <v>16</v>
      </c>
      <c r="C934" s="312" t="s">
        <v>15</v>
      </c>
      <c r="D934" s="314">
        <v>804</v>
      </c>
      <c r="E934" s="313" t="s">
        <v>951</v>
      </c>
      <c r="F934" s="315" t="str">
        <f>IF(IF(A934="","",COUNTIF(CONSOLIDADO!$A:$A,$A934))=0,"REVISAR","OK")</f>
        <v>OK</v>
      </c>
    </row>
    <row r="935" spans="1:6" ht="11.45" customHeight="1" x14ac:dyDescent="0.2">
      <c r="A935" s="312" t="s">
        <v>79</v>
      </c>
      <c r="B935" s="313" t="s">
        <v>16</v>
      </c>
      <c r="C935" s="312" t="s">
        <v>15</v>
      </c>
      <c r="D935" s="314">
        <v>892</v>
      </c>
      <c r="E935" s="313" t="s">
        <v>2233</v>
      </c>
      <c r="F935" s="315" t="str">
        <f>IF(IF(A935="","",COUNTIF(CONSOLIDADO!$A:$A,$A935))=0,"REVISAR","OK")</f>
        <v>OK</v>
      </c>
    </row>
    <row r="936" spans="1:6" ht="11.45" customHeight="1" x14ac:dyDescent="0.2">
      <c r="A936" s="312" t="s">
        <v>79</v>
      </c>
      <c r="B936" s="313" t="s">
        <v>16</v>
      </c>
      <c r="C936" s="312" t="s">
        <v>15</v>
      </c>
      <c r="D936" s="314">
        <v>1000</v>
      </c>
      <c r="E936" s="313" t="s">
        <v>2073</v>
      </c>
      <c r="F936" s="315" t="str">
        <f>IF(IF(A936="","",COUNTIF(CONSOLIDADO!$A:$A,$A936))=0,"REVISAR","OK")</f>
        <v>OK</v>
      </c>
    </row>
    <row r="937" spans="1:6" ht="11.45" customHeight="1" x14ac:dyDescent="0.2">
      <c r="A937" s="312" t="s">
        <v>79</v>
      </c>
      <c r="B937" s="313" t="s">
        <v>16</v>
      </c>
      <c r="C937" s="312" t="s">
        <v>15</v>
      </c>
      <c r="D937" s="314">
        <v>1000</v>
      </c>
      <c r="E937" s="313" t="s">
        <v>938</v>
      </c>
      <c r="F937" s="315" t="str">
        <f>IF(IF(A937="","",COUNTIF(CONSOLIDADO!$A:$A,$A937))=0,"REVISAR","OK")</f>
        <v>OK</v>
      </c>
    </row>
    <row r="938" spans="1:6" ht="11.45" customHeight="1" x14ac:dyDescent="0.2">
      <c r="A938" s="312" t="s">
        <v>79</v>
      </c>
      <c r="B938" s="313" t="s">
        <v>16</v>
      </c>
      <c r="C938" s="312" t="s">
        <v>15</v>
      </c>
      <c r="D938" s="314">
        <v>1062</v>
      </c>
      <c r="E938" s="313" t="s">
        <v>938</v>
      </c>
      <c r="F938" s="315" t="str">
        <f>IF(IF(A938="","",COUNTIF(CONSOLIDADO!$A:$A,$A938))=0,"REVISAR","OK")</f>
        <v>OK</v>
      </c>
    </row>
    <row r="939" spans="1:6" ht="11.45" customHeight="1" x14ac:dyDescent="0.2">
      <c r="A939" s="312" t="s">
        <v>79</v>
      </c>
      <c r="B939" s="313" t="s">
        <v>16</v>
      </c>
      <c r="C939" s="312" t="s">
        <v>15</v>
      </c>
      <c r="D939" s="314">
        <v>1071</v>
      </c>
      <c r="E939" s="313" t="s">
        <v>2210</v>
      </c>
      <c r="F939" s="315" t="str">
        <f>IF(IF(A939="","",COUNTIF(CONSOLIDADO!$A:$A,$A939))=0,"REVISAR","OK")</f>
        <v>OK</v>
      </c>
    </row>
    <row r="940" spans="1:6" ht="11.45" customHeight="1" x14ac:dyDescent="0.2">
      <c r="A940" s="312" t="s">
        <v>79</v>
      </c>
      <c r="B940" s="313" t="s">
        <v>16</v>
      </c>
      <c r="C940" s="312" t="s">
        <v>15</v>
      </c>
      <c r="D940" s="314">
        <v>1179</v>
      </c>
      <c r="E940" s="313" t="s">
        <v>936</v>
      </c>
      <c r="F940" s="315" t="str">
        <f>IF(IF(A940="","",COUNTIF(CONSOLIDADO!$A:$A,$A940))=0,"REVISAR","OK")</f>
        <v>OK</v>
      </c>
    </row>
    <row r="941" spans="1:6" ht="11.45" customHeight="1" x14ac:dyDescent="0.2">
      <c r="A941" s="312" t="s">
        <v>79</v>
      </c>
      <c r="B941" s="313" t="s">
        <v>16</v>
      </c>
      <c r="C941" s="312" t="s">
        <v>15</v>
      </c>
      <c r="D941" s="314">
        <v>1350</v>
      </c>
      <c r="E941" s="313" t="s">
        <v>976</v>
      </c>
      <c r="F941" s="315" t="str">
        <f>IF(IF(A941="","",COUNTIF(CONSOLIDADO!$A:$A,$A941))=0,"REVISAR","OK")</f>
        <v>OK</v>
      </c>
    </row>
    <row r="942" spans="1:6" ht="11.45" customHeight="1" x14ac:dyDescent="0.2">
      <c r="A942" s="312" t="s">
        <v>79</v>
      </c>
      <c r="B942" s="313" t="s">
        <v>16</v>
      </c>
      <c r="C942" s="312" t="s">
        <v>15</v>
      </c>
      <c r="D942" s="314">
        <v>1350</v>
      </c>
      <c r="E942" s="313" t="s">
        <v>974</v>
      </c>
      <c r="F942" s="315" t="str">
        <f>IF(IF(A942="","",COUNTIF(CONSOLIDADO!$A:$A,$A942))=0,"REVISAR","OK")</f>
        <v>OK</v>
      </c>
    </row>
    <row r="943" spans="1:6" ht="11.45" customHeight="1" x14ac:dyDescent="0.2">
      <c r="A943" s="312" t="s">
        <v>79</v>
      </c>
      <c r="B943" s="313" t="s">
        <v>16</v>
      </c>
      <c r="C943" s="312" t="s">
        <v>15</v>
      </c>
      <c r="D943" s="314">
        <v>1378</v>
      </c>
      <c r="E943" s="313" t="s">
        <v>2238</v>
      </c>
      <c r="F943" s="315" t="str">
        <f>IF(IF(A943="","",COUNTIF(CONSOLIDADO!$A:$A,$A943))=0,"REVISAR","OK")</f>
        <v>OK</v>
      </c>
    </row>
    <row r="944" spans="1:6" ht="11.45" customHeight="1" x14ac:dyDescent="0.2">
      <c r="A944" s="312" t="s">
        <v>79</v>
      </c>
      <c r="B944" s="313" t="s">
        <v>16</v>
      </c>
      <c r="C944" s="312" t="s">
        <v>15</v>
      </c>
      <c r="D944" s="314">
        <v>1378</v>
      </c>
      <c r="E944" s="313" t="s">
        <v>948</v>
      </c>
      <c r="F944" s="315" t="str">
        <f>IF(IF(A944="","",COUNTIF(CONSOLIDADO!$A:$A,$A944))=0,"REVISAR","OK")</f>
        <v>OK</v>
      </c>
    </row>
    <row r="945" spans="1:6" x14ac:dyDescent="0.2">
      <c r="A945" s="312" t="s">
        <v>79</v>
      </c>
      <c r="B945" s="313" t="s">
        <v>16</v>
      </c>
      <c r="C945" s="312" t="s">
        <v>15</v>
      </c>
      <c r="D945" s="314">
        <v>1379</v>
      </c>
      <c r="E945" s="313" t="s">
        <v>934</v>
      </c>
      <c r="F945" s="315" t="str">
        <f>IF(IF(A945="","",COUNTIF(CONSOLIDADO!$A:$A,$A945))=0,"REVISAR","OK")</f>
        <v>OK</v>
      </c>
    </row>
    <row r="946" spans="1:6" x14ac:dyDescent="0.2">
      <c r="A946" s="312" t="s">
        <v>79</v>
      </c>
      <c r="B946" s="313" t="s">
        <v>16</v>
      </c>
      <c r="C946" s="312" t="s">
        <v>15</v>
      </c>
      <c r="D946" s="314">
        <v>1386</v>
      </c>
      <c r="E946" s="313" t="s">
        <v>946</v>
      </c>
      <c r="F946" s="315" t="str">
        <f>IF(IF(A946="","",COUNTIF(CONSOLIDADO!$A:$A,$A946))=0,"REVISAR","OK")</f>
        <v>OK</v>
      </c>
    </row>
    <row r="947" spans="1:6" x14ac:dyDescent="0.2">
      <c r="A947" s="312" t="s">
        <v>79</v>
      </c>
      <c r="B947" s="313" t="s">
        <v>16</v>
      </c>
      <c r="C947" s="312" t="s">
        <v>15</v>
      </c>
      <c r="D947" s="314">
        <v>1387</v>
      </c>
      <c r="E947" s="313" t="s">
        <v>2146</v>
      </c>
      <c r="F947" s="315" t="str">
        <f>IF(IF(A947="","",COUNTIF(CONSOLIDADO!$A:$A,$A947))=0,"REVISAR","OK")</f>
        <v>OK</v>
      </c>
    </row>
    <row r="948" spans="1:6" x14ac:dyDescent="0.2">
      <c r="A948" s="312" t="s">
        <v>79</v>
      </c>
      <c r="B948" s="313" t="s">
        <v>16</v>
      </c>
      <c r="C948" s="312" t="s">
        <v>15</v>
      </c>
      <c r="D948" s="314">
        <v>1387</v>
      </c>
      <c r="E948" s="313" t="s">
        <v>933</v>
      </c>
      <c r="F948" s="315" t="str">
        <f>IF(IF(A948="","",COUNTIF(CONSOLIDADO!$A:$A,$A948))=0,"REVISAR","OK")</f>
        <v>OK</v>
      </c>
    </row>
    <row r="949" spans="1:6" x14ac:dyDescent="0.2">
      <c r="A949" s="312" t="s">
        <v>79</v>
      </c>
      <c r="B949" s="313" t="s">
        <v>16</v>
      </c>
      <c r="C949" s="312" t="s">
        <v>15</v>
      </c>
      <c r="D949" s="314">
        <v>1387</v>
      </c>
      <c r="E949" s="313" t="s">
        <v>929</v>
      </c>
      <c r="F949" s="315" t="str">
        <f>IF(IF(A949="","",COUNTIF(CONSOLIDADO!$A:$A,$A949))=0,"REVISAR","OK")</f>
        <v>OK</v>
      </c>
    </row>
    <row r="950" spans="1:6" x14ac:dyDescent="0.2">
      <c r="A950" s="312" t="s">
        <v>79</v>
      </c>
      <c r="B950" s="313" t="s">
        <v>16</v>
      </c>
      <c r="C950" s="312" t="s">
        <v>15</v>
      </c>
      <c r="D950" s="314">
        <v>1391</v>
      </c>
      <c r="E950" s="313" t="s">
        <v>932</v>
      </c>
      <c r="F950" s="315" t="str">
        <f>IF(IF(A950="","",COUNTIF(CONSOLIDADO!$A:$A,$A950))=0,"REVISAR","OK")</f>
        <v>OK</v>
      </c>
    </row>
    <row r="951" spans="1:6" x14ac:dyDescent="0.2">
      <c r="A951" s="312" t="s">
        <v>79</v>
      </c>
      <c r="B951" s="313" t="s">
        <v>16</v>
      </c>
      <c r="C951" s="312" t="s">
        <v>15</v>
      </c>
      <c r="D951" s="314">
        <v>1477</v>
      </c>
      <c r="E951" s="313" t="s">
        <v>932</v>
      </c>
      <c r="F951" s="315" t="str">
        <f>IF(IF(A951="","",COUNTIF(CONSOLIDADO!$A:$A,$A951))=0,"REVISAR","OK")</f>
        <v>OK</v>
      </c>
    </row>
    <row r="952" spans="1:6" x14ac:dyDescent="0.2">
      <c r="A952" s="312" t="s">
        <v>79</v>
      </c>
      <c r="B952" s="313" t="s">
        <v>16</v>
      </c>
      <c r="C952" s="312" t="s">
        <v>15</v>
      </c>
      <c r="D952" s="314">
        <v>1479</v>
      </c>
      <c r="E952" s="313" t="s">
        <v>943</v>
      </c>
      <c r="F952" s="315" t="str">
        <f>IF(IF(A952="","",COUNTIF(CONSOLIDADO!$A:$A,$A952))=0,"REVISAR","OK")</f>
        <v>OK</v>
      </c>
    </row>
    <row r="953" spans="1:6" x14ac:dyDescent="0.2">
      <c r="A953" s="312" t="s">
        <v>79</v>
      </c>
      <c r="B953" s="313" t="s">
        <v>16</v>
      </c>
      <c r="C953" s="312" t="s">
        <v>15</v>
      </c>
      <c r="D953" s="314">
        <v>1480</v>
      </c>
      <c r="E953" s="313" t="s">
        <v>935</v>
      </c>
      <c r="F953" s="315" t="str">
        <f>IF(IF(A953="","",COUNTIF(CONSOLIDADO!$A:$A,$A953))=0,"REVISAR","OK")</f>
        <v>OK</v>
      </c>
    </row>
    <row r="954" spans="1:6" x14ac:dyDescent="0.2">
      <c r="A954" s="312" t="s">
        <v>79</v>
      </c>
      <c r="B954" s="313" t="s">
        <v>16</v>
      </c>
      <c r="C954" s="312" t="s">
        <v>15</v>
      </c>
      <c r="D954" s="314">
        <v>1481</v>
      </c>
      <c r="E954" s="313" t="s">
        <v>948</v>
      </c>
      <c r="F954" s="315" t="str">
        <f>IF(IF(A954="","",COUNTIF(CONSOLIDADO!$A:$A,$A954))=0,"REVISAR","OK")</f>
        <v>OK</v>
      </c>
    </row>
    <row r="955" spans="1:6" x14ac:dyDescent="0.2">
      <c r="A955" s="312" t="s">
        <v>79</v>
      </c>
      <c r="B955" s="313" t="s">
        <v>16</v>
      </c>
      <c r="C955" s="312" t="s">
        <v>15</v>
      </c>
      <c r="D955" s="314">
        <v>1481</v>
      </c>
      <c r="E955" s="313" t="s">
        <v>2238</v>
      </c>
      <c r="F955" s="315" t="str">
        <f>IF(IF(A955="","",COUNTIF(CONSOLIDADO!$A:$A,$A955))=0,"REVISAR","OK")</f>
        <v>OK</v>
      </c>
    </row>
    <row r="956" spans="1:6" x14ac:dyDescent="0.2">
      <c r="A956" s="312" t="s">
        <v>79</v>
      </c>
      <c r="B956" s="313" t="s">
        <v>16</v>
      </c>
      <c r="C956" s="312" t="s">
        <v>15</v>
      </c>
      <c r="D956" s="314">
        <v>1481</v>
      </c>
      <c r="E956" s="313" t="s">
        <v>935</v>
      </c>
      <c r="F956" s="315" t="str">
        <f>IF(IF(A956="","",COUNTIF(CONSOLIDADO!$A:$A,$A956))=0,"REVISAR","OK")</f>
        <v>OK</v>
      </c>
    </row>
    <row r="957" spans="1:6" x14ac:dyDescent="0.2">
      <c r="A957" s="312" t="s">
        <v>79</v>
      </c>
      <c r="B957" s="313" t="s">
        <v>16</v>
      </c>
      <c r="C957" s="312" t="s">
        <v>15</v>
      </c>
      <c r="D957" s="314">
        <v>1481</v>
      </c>
      <c r="E957" s="313" t="s">
        <v>2070</v>
      </c>
      <c r="F957" s="315" t="str">
        <f>IF(IF(A957="","",COUNTIF(CONSOLIDADO!$A:$A,$A957))=0,"REVISAR","OK")</f>
        <v>OK</v>
      </c>
    </row>
    <row r="958" spans="1:6" x14ac:dyDescent="0.2">
      <c r="A958" s="312" t="s">
        <v>79</v>
      </c>
      <c r="B958" s="313" t="s">
        <v>16</v>
      </c>
      <c r="C958" s="312" t="s">
        <v>15</v>
      </c>
      <c r="D958" s="314">
        <v>1481</v>
      </c>
      <c r="E958" s="313" t="s">
        <v>935</v>
      </c>
      <c r="F958" s="315" t="str">
        <f>IF(IF(A958="","",COUNTIF(CONSOLIDADO!$A:$A,$A958))=0,"REVISAR","OK")</f>
        <v>OK</v>
      </c>
    </row>
    <row r="959" spans="1:6" x14ac:dyDescent="0.2">
      <c r="A959" s="312" t="s">
        <v>79</v>
      </c>
      <c r="B959" s="313" t="s">
        <v>16</v>
      </c>
      <c r="C959" s="312" t="s">
        <v>15</v>
      </c>
      <c r="D959" s="314">
        <v>1486</v>
      </c>
      <c r="E959" s="313" t="s">
        <v>944</v>
      </c>
      <c r="F959" s="315" t="str">
        <f>IF(IF(A959="","",COUNTIF(CONSOLIDADO!$A:$A,$A959))=0,"REVISAR","OK")</f>
        <v>OK</v>
      </c>
    </row>
    <row r="960" spans="1:6" x14ac:dyDescent="0.2">
      <c r="A960" s="312" t="s">
        <v>79</v>
      </c>
      <c r="B960" s="313" t="s">
        <v>16</v>
      </c>
      <c r="C960" s="312" t="s">
        <v>15</v>
      </c>
      <c r="D960" s="314">
        <v>1500</v>
      </c>
      <c r="E960" s="313" t="s">
        <v>2211</v>
      </c>
      <c r="F960" s="315" t="str">
        <f>IF(IF(A960="","",COUNTIF(CONSOLIDADO!$A:$A,$A960))=0,"REVISAR","OK")</f>
        <v>OK</v>
      </c>
    </row>
    <row r="961" spans="1:6" x14ac:dyDescent="0.2">
      <c r="A961" s="312" t="s">
        <v>79</v>
      </c>
      <c r="B961" s="313" t="s">
        <v>16</v>
      </c>
      <c r="C961" s="312" t="s">
        <v>15</v>
      </c>
      <c r="D961" s="314">
        <v>1500</v>
      </c>
      <c r="E961" s="313" t="s">
        <v>2274</v>
      </c>
      <c r="F961" s="315" t="str">
        <f>IF(IF(A961="","",COUNTIF(CONSOLIDADO!$A:$A,$A961))=0,"REVISAR","OK")</f>
        <v>OK</v>
      </c>
    </row>
    <row r="962" spans="1:6" x14ac:dyDescent="0.2">
      <c r="A962" s="312" t="s">
        <v>79</v>
      </c>
      <c r="B962" s="313" t="s">
        <v>16</v>
      </c>
      <c r="C962" s="312" t="s">
        <v>15</v>
      </c>
      <c r="D962" s="314">
        <v>1500</v>
      </c>
      <c r="E962" s="313" t="s">
        <v>2210</v>
      </c>
      <c r="F962" s="315" t="str">
        <f>IF(IF(A962="","",COUNTIF(CONSOLIDADO!$A:$A,$A962))=0,"REVISAR","OK")</f>
        <v>OK</v>
      </c>
    </row>
    <row r="963" spans="1:6" x14ac:dyDescent="0.2">
      <c r="A963" s="312" t="s">
        <v>79</v>
      </c>
      <c r="B963" s="313" t="s">
        <v>16</v>
      </c>
      <c r="C963" s="312" t="s">
        <v>15</v>
      </c>
      <c r="D963" s="314">
        <v>1536</v>
      </c>
      <c r="E963" s="313" t="s">
        <v>950</v>
      </c>
      <c r="F963" s="315" t="str">
        <f>IF(IF(A963="","",COUNTIF(CONSOLIDADO!$A:$A,$A963))=0,"REVISAR","OK")</f>
        <v>OK</v>
      </c>
    </row>
    <row r="964" spans="1:6" x14ac:dyDescent="0.2">
      <c r="A964" s="312" t="s">
        <v>79</v>
      </c>
      <c r="B964" s="313" t="s">
        <v>16</v>
      </c>
      <c r="C964" s="312" t="s">
        <v>15</v>
      </c>
      <c r="D964" s="314">
        <v>1537</v>
      </c>
      <c r="E964" s="313" t="s">
        <v>937</v>
      </c>
      <c r="F964" s="315" t="str">
        <f>IF(IF(A964="","",COUNTIF(CONSOLIDADO!$A:$A,$A964))=0,"REVISAR","OK")</f>
        <v>OK</v>
      </c>
    </row>
    <row r="965" spans="1:6" x14ac:dyDescent="0.2">
      <c r="A965" s="312" t="s">
        <v>79</v>
      </c>
      <c r="B965" s="313" t="s">
        <v>16</v>
      </c>
      <c r="C965" s="312" t="s">
        <v>15</v>
      </c>
      <c r="D965" s="314">
        <v>1570</v>
      </c>
      <c r="E965" s="313" t="s">
        <v>999</v>
      </c>
      <c r="F965" s="315" t="str">
        <f>IF(IF(A965="","",COUNTIF(CONSOLIDADO!$A:$A,$A965))=0,"REVISAR","OK")</f>
        <v>OK</v>
      </c>
    </row>
    <row r="966" spans="1:6" x14ac:dyDescent="0.2">
      <c r="A966" s="312" t="s">
        <v>79</v>
      </c>
      <c r="B966" s="313" t="s">
        <v>16</v>
      </c>
      <c r="C966" s="312" t="s">
        <v>15</v>
      </c>
      <c r="D966" s="314">
        <v>1600</v>
      </c>
      <c r="E966" s="313" t="s">
        <v>934</v>
      </c>
      <c r="F966" s="315" t="str">
        <f>IF(IF(A966="","",COUNTIF(CONSOLIDADO!$A:$A,$A966))=0,"REVISAR","OK")</f>
        <v>OK</v>
      </c>
    </row>
    <row r="967" spans="1:6" x14ac:dyDescent="0.2">
      <c r="A967" s="312" t="s">
        <v>79</v>
      </c>
      <c r="B967" s="313" t="s">
        <v>16</v>
      </c>
      <c r="C967" s="312" t="s">
        <v>15</v>
      </c>
      <c r="D967" s="314">
        <v>1600</v>
      </c>
      <c r="E967" s="313" t="s">
        <v>974</v>
      </c>
      <c r="F967" s="315" t="str">
        <f>IF(IF(A967="","",COUNTIF(CONSOLIDADO!$A:$A,$A967))=0,"REVISAR","OK")</f>
        <v>OK</v>
      </c>
    </row>
    <row r="968" spans="1:6" x14ac:dyDescent="0.2">
      <c r="A968" s="312" t="s">
        <v>79</v>
      </c>
      <c r="B968" s="313" t="s">
        <v>16</v>
      </c>
      <c r="C968" s="312" t="s">
        <v>15</v>
      </c>
      <c r="D968" s="314">
        <v>1600</v>
      </c>
      <c r="E968" s="313" t="s">
        <v>976</v>
      </c>
      <c r="F968" s="315" t="str">
        <f>IF(IF(A968="","",COUNTIF(CONSOLIDADO!$A:$A,$A968))=0,"REVISAR","OK")</f>
        <v>OK</v>
      </c>
    </row>
    <row r="969" spans="1:6" x14ac:dyDescent="0.2">
      <c r="A969" s="312" t="s">
        <v>79</v>
      </c>
      <c r="B969" s="313" t="s">
        <v>16</v>
      </c>
      <c r="C969" s="312" t="s">
        <v>15</v>
      </c>
      <c r="D969" s="314">
        <v>1600</v>
      </c>
      <c r="E969" s="313" t="s">
        <v>940</v>
      </c>
      <c r="F969" s="315" t="str">
        <f>IF(IF(A969="","",COUNTIF(CONSOLIDADO!$A:$A,$A969))=0,"REVISAR","OK")</f>
        <v>OK</v>
      </c>
    </row>
    <row r="970" spans="1:6" x14ac:dyDescent="0.2">
      <c r="A970" s="312" t="s">
        <v>79</v>
      </c>
      <c r="B970" s="313" t="s">
        <v>16</v>
      </c>
      <c r="C970" s="312" t="s">
        <v>15</v>
      </c>
      <c r="D970" s="314">
        <v>1619</v>
      </c>
      <c r="E970" s="313" t="s">
        <v>945</v>
      </c>
      <c r="F970" s="315" t="str">
        <f>IF(IF(A970="","",COUNTIF(CONSOLIDADO!$A:$A,$A970))=0,"REVISAR","OK")</f>
        <v>OK</v>
      </c>
    </row>
    <row r="971" spans="1:6" x14ac:dyDescent="0.2">
      <c r="A971" s="312" t="s">
        <v>79</v>
      </c>
      <c r="B971" s="313" t="s">
        <v>16</v>
      </c>
      <c r="C971" s="312" t="s">
        <v>15</v>
      </c>
      <c r="D971" s="314">
        <v>1715</v>
      </c>
      <c r="E971" s="313" t="s">
        <v>2146</v>
      </c>
      <c r="F971" s="315" t="str">
        <f>IF(IF(A971="","",COUNTIF(CONSOLIDADO!$A:$A,$A971))=0,"REVISAR","OK")</f>
        <v>OK</v>
      </c>
    </row>
    <row r="972" spans="1:6" x14ac:dyDescent="0.2">
      <c r="A972" s="312" t="s">
        <v>79</v>
      </c>
      <c r="B972" s="313" t="s">
        <v>16</v>
      </c>
      <c r="C972" s="312" t="s">
        <v>15</v>
      </c>
      <c r="D972" s="314">
        <v>1780</v>
      </c>
      <c r="E972" s="313" t="s">
        <v>2146</v>
      </c>
      <c r="F972" s="315" t="str">
        <f>IF(IF(A972="","",COUNTIF(CONSOLIDADO!$A:$A,$A972))=0,"REVISAR","OK")</f>
        <v>OK</v>
      </c>
    </row>
    <row r="973" spans="1:6" x14ac:dyDescent="0.2">
      <c r="A973" s="312" t="s">
        <v>79</v>
      </c>
      <c r="B973" s="313" t="s">
        <v>16</v>
      </c>
      <c r="C973" s="312" t="s">
        <v>15</v>
      </c>
      <c r="D973" s="314">
        <v>1799</v>
      </c>
      <c r="E973" s="313" t="s">
        <v>2005</v>
      </c>
      <c r="F973" s="315" t="str">
        <f>IF(IF(A973="","",COUNTIF(CONSOLIDADO!$A:$A,$A973))=0,"REVISAR","OK")</f>
        <v>OK</v>
      </c>
    </row>
    <row r="974" spans="1:6" x14ac:dyDescent="0.2">
      <c r="A974" s="312" t="s">
        <v>79</v>
      </c>
      <c r="B974" s="313" t="s">
        <v>16</v>
      </c>
      <c r="C974" s="312" t="s">
        <v>15</v>
      </c>
      <c r="D974" s="314">
        <v>1990</v>
      </c>
      <c r="E974" s="313" t="s">
        <v>2276</v>
      </c>
      <c r="F974" s="315" t="str">
        <f>IF(IF(A974="","",COUNTIF(CONSOLIDADO!$A:$A,$A974))=0,"REVISAR","OK")</f>
        <v>OK</v>
      </c>
    </row>
    <row r="975" spans="1:6" x14ac:dyDescent="0.2">
      <c r="A975" s="312" t="s">
        <v>79</v>
      </c>
      <c r="B975" s="313" t="s">
        <v>16</v>
      </c>
      <c r="C975" s="312" t="s">
        <v>15</v>
      </c>
      <c r="D975" s="314">
        <v>2100</v>
      </c>
      <c r="E975" s="313" t="s">
        <v>930</v>
      </c>
      <c r="F975" s="315" t="str">
        <f>IF(IF(A975="","",COUNTIF(CONSOLIDADO!$A:$A,$A975))=0,"REVISAR","OK")</f>
        <v>OK</v>
      </c>
    </row>
    <row r="976" spans="1:6" x14ac:dyDescent="0.2">
      <c r="A976" s="312" t="s">
        <v>79</v>
      </c>
      <c r="B976" s="313" t="s">
        <v>16</v>
      </c>
      <c r="C976" s="312" t="s">
        <v>15</v>
      </c>
      <c r="D976" s="314">
        <v>2177</v>
      </c>
      <c r="E976" s="313" t="s">
        <v>2176</v>
      </c>
      <c r="F976" s="315" t="str">
        <f>IF(IF(A976="","",COUNTIF(CONSOLIDADO!$A:$A,$A976))=0,"REVISAR","OK")</f>
        <v>OK</v>
      </c>
    </row>
    <row r="977" spans="1:6" x14ac:dyDescent="0.2">
      <c r="A977" s="312" t="s">
        <v>79</v>
      </c>
      <c r="B977" s="313" t="s">
        <v>16</v>
      </c>
      <c r="C977" s="312" t="s">
        <v>15</v>
      </c>
      <c r="D977" s="314">
        <v>4200</v>
      </c>
      <c r="E977" s="313" t="s">
        <v>2232</v>
      </c>
      <c r="F977" s="315" t="str">
        <f>IF(IF(A977="","",COUNTIF(CONSOLIDADO!$A:$A,$A977))=0,"REVISAR","OK")</f>
        <v>OK</v>
      </c>
    </row>
    <row r="978" spans="1:6" x14ac:dyDescent="0.2">
      <c r="A978" s="312" t="s">
        <v>201</v>
      </c>
      <c r="B978" s="313" t="s">
        <v>1045</v>
      </c>
      <c r="C978" s="312" t="s">
        <v>111</v>
      </c>
      <c r="D978" s="314">
        <v>247</v>
      </c>
      <c r="E978" s="313" t="s">
        <v>951</v>
      </c>
      <c r="F978" s="315" t="str">
        <f>IF(IF(A978="","",COUNTIF(CONSOLIDADO!$A:$A,$A978))=0,"REVISAR","OK")</f>
        <v>OK</v>
      </c>
    </row>
    <row r="979" spans="1:6" x14ac:dyDescent="0.2">
      <c r="A979" s="312" t="s">
        <v>201</v>
      </c>
      <c r="B979" s="313" t="s">
        <v>1045</v>
      </c>
      <c r="C979" s="312" t="s">
        <v>111</v>
      </c>
      <c r="D979" s="314">
        <v>294</v>
      </c>
      <c r="E979" s="313" t="s">
        <v>945</v>
      </c>
      <c r="F979" s="315" t="str">
        <f>IF(IF(A979="","",COUNTIF(CONSOLIDADO!$A:$A,$A979))=0,"REVISAR","OK")</f>
        <v>OK</v>
      </c>
    </row>
    <row r="980" spans="1:6" x14ac:dyDescent="0.2">
      <c r="A980" s="312" t="s">
        <v>201</v>
      </c>
      <c r="B980" s="313" t="s">
        <v>1045</v>
      </c>
      <c r="C980" s="312" t="s">
        <v>111</v>
      </c>
      <c r="D980" s="314">
        <v>296</v>
      </c>
      <c r="E980" s="313" t="s">
        <v>937</v>
      </c>
      <c r="F980" s="315" t="str">
        <f>IF(IF(A980="","",COUNTIF(CONSOLIDADO!$A:$A,$A980))=0,"REVISAR","OK")</f>
        <v>OK</v>
      </c>
    </row>
    <row r="981" spans="1:6" x14ac:dyDescent="0.2">
      <c r="A981" s="312" t="s">
        <v>201</v>
      </c>
      <c r="B981" s="313" t="s">
        <v>1045</v>
      </c>
      <c r="C981" s="312" t="s">
        <v>111</v>
      </c>
      <c r="D981" s="314">
        <v>319</v>
      </c>
      <c r="E981" s="313" t="s">
        <v>944</v>
      </c>
      <c r="F981" s="315" t="str">
        <f>IF(IF(A981="","",COUNTIF(CONSOLIDADO!$A:$A,$A981))=0,"REVISAR","OK")</f>
        <v>OK</v>
      </c>
    </row>
    <row r="982" spans="1:6" x14ac:dyDescent="0.2">
      <c r="A982" s="312" t="s">
        <v>201</v>
      </c>
      <c r="B982" s="313" t="s">
        <v>1045</v>
      </c>
      <c r="C982" s="312" t="s">
        <v>111</v>
      </c>
      <c r="D982" s="314">
        <v>400</v>
      </c>
      <c r="E982" s="313" t="s">
        <v>976</v>
      </c>
      <c r="F982" s="315" t="str">
        <f>IF(IF(A982="","",COUNTIF(CONSOLIDADO!$A:$A,$A982))=0,"REVISAR","OK")</f>
        <v>OK</v>
      </c>
    </row>
    <row r="983" spans="1:6" x14ac:dyDescent="0.2">
      <c r="A983" s="312" t="s">
        <v>201</v>
      </c>
      <c r="B983" s="313" t="s">
        <v>1045</v>
      </c>
      <c r="C983" s="312" t="s">
        <v>111</v>
      </c>
      <c r="D983" s="314">
        <v>400</v>
      </c>
      <c r="E983" s="313" t="s">
        <v>940</v>
      </c>
      <c r="F983" s="315" t="str">
        <f>IF(IF(A983="","",COUNTIF(CONSOLIDADO!$A:$A,$A983))=0,"REVISAR","OK")</f>
        <v>OK</v>
      </c>
    </row>
    <row r="984" spans="1:6" x14ac:dyDescent="0.2">
      <c r="A984" s="312" t="s">
        <v>201</v>
      </c>
      <c r="B984" s="313" t="s">
        <v>1045</v>
      </c>
      <c r="C984" s="312" t="s">
        <v>111</v>
      </c>
      <c r="D984" s="314">
        <v>416</v>
      </c>
      <c r="E984" s="313" t="s">
        <v>939</v>
      </c>
      <c r="F984" s="315" t="str">
        <f>IF(IF(A984="","",COUNTIF(CONSOLIDADO!$A:$A,$A984))=0,"REVISAR","OK")</f>
        <v>OK</v>
      </c>
    </row>
    <row r="985" spans="1:6" x14ac:dyDescent="0.2">
      <c r="A985" s="312" t="s">
        <v>201</v>
      </c>
      <c r="B985" s="313" t="s">
        <v>1045</v>
      </c>
      <c r="C985" s="312" t="s">
        <v>111</v>
      </c>
      <c r="D985" s="314">
        <v>476</v>
      </c>
      <c r="E985" s="313" t="s">
        <v>2258</v>
      </c>
      <c r="F985" s="315" t="str">
        <f>IF(IF(A985="","",COUNTIF(CONSOLIDADO!$A:$A,$A985))=0,"REVISAR","OK")</f>
        <v>OK</v>
      </c>
    </row>
    <row r="986" spans="1:6" x14ac:dyDescent="0.2">
      <c r="A986" s="312" t="s">
        <v>201</v>
      </c>
      <c r="B986" s="313" t="s">
        <v>1045</v>
      </c>
      <c r="C986" s="312" t="s">
        <v>111</v>
      </c>
      <c r="D986" s="314">
        <v>476</v>
      </c>
      <c r="E986" s="313" t="s">
        <v>982</v>
      </c>
      <c r="F986" s="315" t="str">
        <f>IF(IF(A986="","",COUNTIF(CONSOLIDADO!$A:$A,$A986))=0,"REVISAR","OK")</f>
        <v>OK</v>
      </c>
    </row>
    <row r="987" spans="1:6" x14ac:dyDescent="0.2">
      <c r="A987" s="312" t="s">
        <v>201</v>
      </c>
      <c r="B987" s="313" t="s">
        <v>1045</v>
      </c>
      <c r="C987" s="312" t="s">
        <v>111</v>
      </c>
      <c r="D987" s="314">
        <v>479</v>
      </c>
      <c r="E987" s="313" t="s">
        <v>945</v>
      </c>
      <c r="F987" s="315" t="str">
        <f>IF(IF(A987="","",COUNTIF(CONSOLIDADO!$A:$A,$A987))=0,"REVISAR","OK")</f>
        <v>OK</v>
      </c>
    </row>
    <row r="988" spans="1:6" x14ac:dyDescent="0.2">
      <c r="A988" s="312" t="s">
        <v>201</v>
      </c>
      <c r="B988" s="313" t="s">
        <v>1045</v>
      </c>
      <c r="C988" s="312" t="s">
        <v>111</v>
      </c>
      <c r="D988" s="314">
        <v>500</v>
      </c>
      <c r="E988" s="313" t="s">
        <v>2073</v>
      </c>
      <c r="F988" s="315" t="str">
        <f>IF(IF(A988="","",COUNTIF(CONSOLIDADO!$A:$A,$A988))=0,"REVISAR","OK")</f>
        <v>OK</v>
      </c>
    </row>
    <row r="989" spans="1:6" x14ac:dyDescent="0.2">
      <c r="A989" s="312" t="s">
        <v>201</v>
      </c>
      <c r="B989" s="313" t="s">
        <v>1045</v>
      </c>
      <c r="C989" s="312" t="s">
        <v>111</v>
      </c>
      <c r="D989" s="314">
        <v>500</v>
      </c>
      <c r="E989" s="313" t="s">
        <v>943</v>
      </c>
      <c r="F989" s="315" t="str">
        <f>IF(IF(A989="","",COUNTIF(CONSOLIDADO!$A:$A,$A989))=0,"REVISAR","OK")</f>
        <v>OK</v>
      </c>
    </row>
    <row r="990" spans="1:6" x14ac:dyDescent="0.2">
      <c r="A990" s="312" t="s">
        <v>201</v>
      </c>
      <c r="B990" s="313" t="s">
        <v>1045</v>
      </c>
      <c r="C990" s="312" t="s">
        <v>111</v>
      </c>
      <c r="D990" s="314">
        <v>535</v>
      </c>
      <c r="E990" s="313" t="s">
        <v>1115</v>
      </c>
      <c r="F990" s="315" t="str">
        <f>IF(IF(A990="","",COUNTIF(CONSOLIDADO!$A:$A,$A990))=0,"REVISAR","OK")</f>
        <v>OK</v>
      </c>
    </row>
    <row r="991" spans="1:6" x14ac:dyDescent="0.2">
      <c r="A991" s="312" t="s">
        <v>201</v>
      </c>
      <c r="B991" s="313" t="s">
        <v>1045</v>
      </c>
      <c r="C991" s="312" t="s">
        <v>111</v>
      </c>
      <c r="D991" s="314">
        <v>571</v>
      </c>
      <c r="E991" s="313" t="s">
        <v>2258</v>
      </c>
      <c r="F991" s="315" t="str">
        <f>IF(IF(A991="","",COUNTIF(CONSOLIDADO!$A:$A,$A991))=0,"REVISAR","OK")</f>
        <v>OK</v>
      </c>
    </row>
    <row r="992" spans="1:6" x14ac:dyDescent="0.2">
      <c r="A992" s="312" t="s">
        <v>201</v>
      </c>
      <c r="B992" s="313" t="s">
        <v>1045</v>
      </c>
      <c r="C992" s="312" t="s">
        <v>111</v>
      </c>
      <c r="D992" s="314">
        <v>700</v>
      </c>
      <c r="E992" s="313" t="s">
        <v>943</v>
      </c>
      <c r="F992" s="315" t="str">
        <f>IF(IF(A992="","",COUNTIF(CONSOLIDADO!$A:$A,$A992))=0,"REVISAR","OK")</f>
        <v>OK</v>
      </c>
    </row>
    <row r="993" spans="1:6" x14ac:dyDescent="0.2">
      <c r="A993" s="312" t="s">
        <v>201</v>
      </c>
      <c r="B993" s="313" t="s">
        <v>1045</v>
      </c>
      <c r="C993" s="312" t="s">
        <v>111</v>
      </c>
      <c r="D993" s="314">
        <v>800</v>
      </c>
      <c r="E993" s="313" t="s">
        <v>2210</v>
      </c>
      <c r="F993" s="315" t="str">
        <f>IF(IF(A993="","",COUNTIF(CONSOLIDADO!$A:$A,$A993))=0,"REVISAR","OK")</f>
        <v>OK</v>
      </c>
    </row>
    <row r="994" spans="1:6" x14ac:dyDescent="0.2">
      <c r="A994" s="312" t="s">
        <v>201</v>
      </c>
      <c r="B994" s="313" t="s">
        <v>1045</v>
      </c>
      <c r="C994" s="312" t="s">
        <v>111</v>
      </c>
      <c r="D994" s="314">
        <v>821</v>
      </c>
      <c r="E994" s="313" t="s">
        <v>2070</v>
      </c>
      <c r="F994" s="315" t="str">
        <f>IF(IF(A994="","",COUNTIF(CONSOLIDADO!$A:$A,$A994))=0,"REVISAR","OK")</f>
        <v>OK</v>
      </c>
    </row>
    <row r="995" spans="1:6" x14ac:dyDescent="0.2">
      <c r="A995" s="312" t="s">
        <v>201</v>
      </c>
      <c r="B995" s="313" t="s">
        <v>1045</v>
      </c>
      <c r="C995" s="312" t="s">
        <v>111</v>
      </c>
      <c r="D995" s="314">
        <v>950</v>
      </c>
      <c r="E995" s="313" t="s">
        <v>936</v>
      </c>
      <c r="F995" s="315" t="str">
        <f>IF(IF(A995="","",COUNTIF(CONSOLIDADO!$A:$A,$A995))=0,"REVISAR","OK")</f>
        <v>OK</v>
      </c>
    </row>
    <row r="996" spans="1:6" x14ac:dyDescent="0.2">
      <c r="A996" s="312" t="s">
        <v>201</v>
      </c>
      <c r="B996" s="313" t="s">
        <v>1045</v>
      </c>
      <c r="C996" s="312" t="s">
        <v>111</v>
      </c>
      <c r="D996" s="314">
        <v>996</v>
      </c>
      <c r="E996" s="313" t="s">
        <v>950</v>
      </c>
      <c r="F996" s="315" t="str">
        <f>IF(IF(A996="","",COUNTIF(CONSOLIDADO!$A:$A,$A996))=0,"REVISAR","OK")</f>
        <v>OK</v>
      </c>
    </row>
    <row r="997" spans="1:6" x14ac:dyDescent="0.2">
      <c r="A997" s="312" t="s">
        <v>201</v>
      </c>
      <c r="B997" s="313" t="s">
        <v>1045</v>
      </c>
      <c r="C997" s="312" t="s">
        <v>111</v>
      </c>
      <c r="D997" s="314">
        <v>997</v>
      </c>
      <c r="E997" s="313" t="s">
        <v>937</v>
      </c>
      <c r="F997" s="315" t="str">
        <f>IF(IF(A997="","",COUNTIF(CONSOLIDADO!$A:$A,$A997))=0,"REVISAR","OK")</f>
        <v>OK</v>
      </c>
    </row>
    <row r="998" spans="1:6" x14ac:dyDescent="0.2">
      <c r="A998" s="312" t="s">
        <v>201</v>
      </c>
      <c r="B998" s="313" t="s">
        <v>1045</v>
      </c>
      <c r="C998" s="312" t="s">
        <v>111</v>
      </c>
      <c r="D998" s="314">
        <v>1681</v>
      </c>
      <c r="E998" s="313" t="s">
        <v>946</v>
      </c>
      <c r="F998" s="315" t="str">
        <f>IF(IF(A998="","",COUNTIF(CONSOLIDADO!$A:$A,$A998))=0,"REVISAR","OK")</f>
        <v>OK</v>
      </c>
    </row>
    <row r="999" spans="1:6" x14ac:dyDescent="0.2">
      <c r="A999" s="312" t="s">
        <v>201</v>
      </c>
      <c r="B999" s="313" t="s">
        <v>1045</v>
      </c>
      <c r="C999" s="312" t="s">
        <v>111</v>
      </c>
      <c r="D999" s="314">
        <v>1681</v>
      </c>
      <c r="E999" s="313" t="s">
        <v>929</v>
      </c>
      <c r="F999" s="315" t="str">
        <f>IF(IF(A999="","",COUNTIF(CONSOLIDADO!$A:$A,$A999))=0,"REVISAR","OK")</f>
        <v>OK</v>
      </c>
    </row>
    <row r="1000" spans="1:6" x14ac:dyDescent="0.2">
      <c r="A1000" s="312" t="s">
        <v>201</v>
      </c>
      <c r="B1000" s="313" t="s">
        <v>1045</v>
      </c>
      <c r="C1000" s="312" t="s">
        <v>111</v>
      </c>
      <c r="D1000" s="314">
        <v>1681</v>
      </c>
      <c r="E1000" s="313" t="s">
        <v>2146</v>
      </c>
      <c r="F1000" s="315" t="str">
        <f>IF(IF(A1000="","",COUNTIF(CONSOLIDADO!$A:$A,$A1000))=0,"REVISAR","OK")</f>
        <v>OK</v>
      </c>
    </row>
    <row r="1001" spans="1:6" x14ac:dyDescent="0.2">
      <c r="A1001" s="312" t="s">
        <v>201</v>
      </c>
      <c r="B1001" s="313" t="s">
        <v>1045</v>
      </c>
      <c r="C1001" s="312" t="s">
        <v>111</v>
      </c>
      <c r="D1001" s="314">
        <v>1685</v>
      </c>
      <c r="E1001" s="313" t="s">
        <v>932</v>
      </c>
      <c r="F1001" s="315" t="str">
        <f>IF(IF(A1001="","",COUNTIF(CONSOLIDADO!$A:$A,$A1001))=0,"REVISAR","OK")</f>
        <v>OK</v>
      </c>
    </row>
    <row r="1002" spans="1:6" x14ac:dyDescent="0.2">
      <c r="A1002" s="312" t="s">
        <v>201</v>
      </c>
      <c r="B1002" s="313" t="s">
        <v>1045</v>
      </c>
      <c r="C1002" s="312" t="s">
        <v>111</v>
      </c>
      <c r="D1002" s="314">
        <v>2006</v>
      </c>
      <c r="E1002" s="313" t="s">
        <v>2146</v>
      </c>
      <c r="F1002" s="315" t="str">
        <f>IF(IF(A1002="","",COUNTIF(CONSOLIDADO!$A:$A,$A1002))=0,"REVISAR","OK")</f>
        <v>OK</v>
      </c>
    </row>
    <row r="1003" spans="1:6" x14ac:dyDescent="0.2">
      <c r="A1003" s="312" t="s">
        <v>189</v>
      </c>
      <c r="B1003" s="313" t="s">
        <v>188</v>
      </c>
      <c r="C1003" s="312" t="s">
        <v>111</v>
      </c>
      <c r="D1003" s="314">
        <v>566</v>
      </c>
      <c r="E1003" s="313" t="s">
        <v>944</v>
      </c>
      <c r="F1003" s="315" t="str">
        <f>IF(IF(A1003="","",COUNTIF(CONSOLIDADO!$A:$A,$A1003))=0,"REVISAR","OK")</f>
        <v>OK</v>
      </c>
    </row>
    <row r="1004" spans="1:6" x14ac:dyDescent="0.2">
      <c r="A1004" s="312" t="s">
        <v>189</v>
      </c>
      <c r="B1004" s="313" t="s">
        <v>188</v>
      </c>
      <c r="C1004" s="312" t="s">
        <v>111</v>
      </c>
      <c r="D1004" s="314">
        <v>566</v>
      </c>
      <c r="E1004" s="313" t="s">
        <v>950</v>
      </c>
      <c r="F1004" s="315" t="str">
        <f>IF(IF(A1004="","",COUNTIF(CONSOLIDADO!$A:$A,$A1004))=0,"REVISAR","OK")</f>
        <v>OK</v>
      </c>
    </row>
    <row r="1005" spans="1:6" x14ac:dyDescent="0.2">
      <c r="A1005" s="312" t="s">
        <v>189</v>
      </c>
      <c r="B1005" s="313" t="s">
        <v>188</v>
      </c>
      <c r="C1005" s="312" t="s">
        <v>111</v>
      </c>
      <c r="D1005" s="314">
        <v>566</v>
      </c>
      <c r="E1005" s="313" t="s">
        <v>931</v>
      </c>
      <c r="F1005" s="315" t="str">
        <f>IF(IF(A1005="","",COUNTIF(CONSOLIDADO!$A:$A,$A1005))=0,"REVISAR","OK")</f>
        <v>OK</v>
      </c>
    </row>
    <row r="1006" spans="1:6" x14ac:dyDescent="0.2">
      <c r="A1006" s="312" t="s">
        <v>189</v>
      </c>
      <c r="B1006" s="313" t="s">
        <v>188</v>
      </c>
      <c r="C1006" s="312" t="s">
        <v>111</v>
      </c>
      <c r="D1006" s="314">
        <v>952</v>
      </c>
      <c r="E1006" s="313" t="s">
        <v>982</v>
      </c>
      <c r="F1006" s="315" t="str">
        <f>IF(IF(A1006="","",COUNTIF(CONSOLIDADO!$A:$A,$A1006))=0,"REVISAR","OK")</f>
        <v>OK</v>
      </c>
    </row>
    <row r="1007" spans="1:6" x14ac:dyDescent="0.2">
      <c r="A1007" s="312" t="s">
        <v>189</v>
      </c>
      <c r="B1007" s="313" t="s">
        <v>188</v>
      </c>
      <c r="C1007" s="312" t="s">
        <v>111</v>
      </c>
      <c r="D1007" s="314">
        <v>1071</v>
      </c>
      <c r="E1007" s="313" t="s">
        <v>2233</v>
      </c>
      <c r="F1007" s="315" t="str">
        <f>IF(IF(A1007="","",COUNTIF(CONSOLIDADO!$A:$A,$A1007))=0,"REVISAR","OK")</f>
        <v>OK</v>
      </c>
    </row>
    <row r="1008" spans="1:6" x14ac:dyDescent="0.2">
      <c r="A1008" s="312" t="s">
        <v>189</v>
      </c>
      <c r="B1008" s="313" t="s">
        <v>188</v>
      </c>
      <c r="C1008" s="312" t="s">
        <v>111</v>
      </c>
      <c r="D1008" s="314">
        <v>1190</v>
      </c>
      <c r="E1008" s="313" t="s">
        <v>1115</v>
      </c>
      <c r="F1008" s="315" t="str">
        <f>IF(IF(A1008="","",COUNTIF(CONSOLIDADO!$A:$A,$A1008))=0,"REVISAR","OK")</f>
        <v>OK</v>
      </c>
    </row>
    <row r="1009" spans="1:6" x14ac:dyDescent="0.2">
      <c r="A1009" s="312" t="s">
        <v>189</v>
      </c>
      <c r="B1009" s="313" t="s">
        <v>188</v>
      </c>
      <c r="C1009" s="312" t="s">
        <v>111</v>
      </c>
      <c r="D1009" s="314">
        <v>1190</v>
      </c>
      <c r="E1009" s="313" t="s">
        <v>2258</v>
      </c>
      <c r="F1009" s="315" t="str">
        <f>IF(IF(A1009="","",COUNTIF(CONSOLIDADO!$A:$A,$A1009))=0,"REVISAR","OK")</f>
        <v>OK</v>
      </c>
    </row>
    <row r="1010" spans="1:6" x14ac:dyDescent="0.2">
      <c r="A1010" s="312" t="s">
        <v>189</v>
      </c>
      <c r="B1010" s="313" t="s">
        <v>188</v>
      </c>
      <c r="C1010" s="312" t="s">
        <v>111</v>
      </c>
      <c r="D1010" s="314">
        <v>1428</v>
      </c>
      <c r="E1010" s="313" t="s">
        <v>1115</v>
      </c>
      <c r="F1010" s="315" t="str">
        <f>IF(IF(A1010="","",COUNTIF(CONSOLIDADO!$A:$A,$A1010))=0,"REVISAR","OK")</f>
        <v>OK</v>
      </c>
    </row>
    <row r="1011" spans="1:6" x14ac:dyDescent="0.2">
      <c r="A1011" s="312" t="s">
        <v>189</v>
      </c>
      <c r="B1011" s="313" t="s">
        <v>188</v>
      </c>
      <c r="C1011" s="312" t="s">
        <v>111</v>
      </c>
      <c r="D1011" s="314">
        <v>1700</v>
      </c>
      <c r="E1011" s="313" t="s">
        <v>938</v>
      </c>
      <c r="F1011" s="315" t="str">
        <f>IF(IF(A1011="","",COUNTIF(CONSOLIDADO!$A:$A,$A1011))=0,"REVISAR","OK")</f>
        <v>OK</v>
      </c>
    </row>
    <row r="1012" spans="1:6" x14ac:dyDescent="0.2">
      <c r="A1012" s="312" t="s">
        <v>189</v>
      </c>
      <c r="B1012" s="313" t="s">
        <v>188</v>
      </c>
      <c r="C1012" s="312" t="s">
        <v>111</v>
      </c>
      <c r="D1012" s="314">
        <v>1700</v>
      </c>
      <c r="E1012" s="313" t="s">
        <v>932</v>
      </c>
      <c r="F1012" s="315" t="str">
        <f>IF(IF(A1012="","",COUNTIF(CONSOLIDADO!$A:$A,$A1012))=0,"REVISAR","OK")</f>
        <v>OK</v>
      </c>
    </row>
    <row r="1013" spans="1:6" x14ac:dyDescent="0.2">
      <c r="A1013" s="312" t="s">
        <v>189</v>
      </c>
      <c r="B1013" s="313" t="s">
        <v>188</v>
      </c>
      <c r="C1013" s="312" t="s">
        <v>111</v>
      </c>
      <c r="D1013" s="314">
        <v>1700</v>
      </c>
      <c r="E1013" s="313" t="s">
        <v>933</v>
      </c>
      <c r="F1013" s="315" t="str">
        <f>IF(IF(A1013="","",COUNTIF(CONSOLIDADO!$A:$A,$A1013))=0,"REVISAR","OK")</f>
        <v>OK</v>
      </c>
    </row>
    <row r="1014" spans="1:6" x14ac:dyDescent="0.2">
      <c r="A1014" s="312" t="s">
        <v>189</v>
      </c>
      <c r="B1014" s="313" t="s">
        <v>188</v>
      </c>
      <c r="C1014" s="312" t="s">
        <v>111</v>
      </c>
      <c r="D1014" s="314">
        <v>1700</v>
      </c>
      <c r="E1014" s="313" t="s">
        <v>929</v>
      </c>
      <c r="F1014" s="315" t="str">
        <f>IF(IF(A1014="","",COUNTIF(CONSOLIDADO!$A:$A,$A1014))=0,"REVISAR","OK")</f>
        <v>OK</v>
      </c>
    </row>
    <row r="1015" spans="1:6" x14ac:dyDescent="0.2">
      <c r="A1015" s="312" t="s">
        <v>189</v>
      </c>
      <c r="B1015" s="313" t="s">
        <v>188</v>
      </c>
      <c r="C1015" s="312" t="s">
        <v>111</v>
      </c>
      <c r="D1015" s="314">
        <v>1889</v>
      </c>
      <c r="E1015" s="313" t="s">
        <v>945</v>
      </c>
      <c r="F1015" s="315" t="str">
        <f>IF(IF(A1015="","",COUNTIF(CONSOLIDADO!$A:$A,$A1015))=0,"REVISAR","OK")</f>
        <v>OK</v>
      </c>
    </row>
    <row r="1016" spans="1:6" x14ac:dyDescent="0.2">
      <c r="A1016" s="312" t="s">
        <v>189</v>
      </c>
      <c r="B1016" s="313" t="s">
        <v>188</v>
      </c>
      <c r="C1016" s="312" t="s">
        <v>111</v>
      </c>
      <c r="D1016" s="314">
        <v>1980</v>
      </c>
      <c r="E1016" s="313" t="s">
        <v>2146</v>
      </c>
      <c r="F1016" s="315" t="str">
        <f>IF(IF(A1016="","",COUNTIF(CONSOLIDADO!$A:$A,$A1016))=0,"REVISAR","OK")</f>
        <v>OK</v>
      </c>
    </row>
    <row r="1017" spans="1:6" x14ac:dyDescent="0.2">
      <c r="A1017" s="312" t="s">
        <v>189</v>
      </c>
      <c r="B1017" s="313" t="s">
        <v>188</v>
      </c>
      <c r="C1017" s="312" t="s">
        <v>111</v>
      </c>
      <c r="D1017" s="314">
        <v>2000</v>
      </c>
      <c r="E1017" s="313" t="s">
        <v>943</v>
      </c>
      <c r="F1017" s="315" t="str">
        <f>IF(IF(A1017="","",COUNTIF(CONSOLIDADO!$A:$A,$A1017))=0,"REVISAR","OK")</f>
        <v>OK</v>
      </c>
    </row>
    <row r="1018" spans="1:6" x14ac:dyDescent="0.2">
      <c r="A1018" s="312" t="s">
        <v>189</v>
      </c>
      <c r="B1018" s="313" t="s">
        <v>188</v>
      </c>
      <c r="C1018" s="312" t="s">
        <v>111</v>
      </c>
      <c r="D1018" s="314">
        <v>2130</v>
      </c>
      <c r="E1018" s="313" t="s">
        <v>2070</v>
      </c>
      <c r="F1018" s="315" t="str">
        <f>IF(IF(A1018="","",COUNTIF(CONSOLIDADO!$A:$A,$A1018))=0,"REVISAR","OK")</f>
        <v>OK</v>
      </c>
    </row>
    <row r="1019" spans="1:6" x14ac:dyDescent="0.2">
      <c r="A1019" s="312" t="s">
        <v>195</v>
      </c>
      <c r="B1019" s="313" t="s">
        <v>194</v>
      </c>
      <c r="C1019" s="312" t="s">
        <v>111</v>
      </c>
      <c r="D1019" s="314">
        <v>500</v>
      </c>
      <c r="E1019" s="313" t="s">
        <v>2073</v>
      </c>
      <c r="F1019" s="315" t="str">
        <f>IF(IF(A1019="","",COUNTIF(CONSOLIDADO!$A:$A,$A1019))=0,"REVISAR","OK")</f>
        <v>OK</v>
      </c>
    </row>
    <row r="1020" spans="1:6" x14ac:dyDescent="0.2">
      <c r="A1020" s="312" t="s">
        <v>195</v>
      </c>
      <c r="B1020" s="313" t="s">
        <v>194</v>
      </c>
      <c r="C1020" s="312" t="s">
        <v>111</v>
      </c>
      <c r="D1020" s="314">
        <v>654</v>
      </c>
      <c r="E1020" s="313" t="s">
        <v>2233</v>
      </c>
      <c r="F1020" s="315" t="str">
        <f>IF(IF(A1020="","",COUNTIF(CONSOLIDADO!$A:$A,$A1020))=0,"REVISAR","OK")</f>
        <v>OK</v>
      </c>
    </row>
    <row r="1021" spans="1:6" x14ac:dyDescent="0.2">
      <c r="A1021" s="312" t="s">
        <v>195</v>
      </c>
      <c r="B1021" s="313" t="s">
        <v>194</v>
      </c>
      <c r="C1021" s="312" t="s">
        <v>111</v>
      </c>
      <c r="D1021" s="314">
        <v>681</v>
      </c>
      <c r="E1021" s="313" t="s">
        <v>938</v>
      </c>
      <c r="F1021" s="315" t="str">
        <f>IF(IF(A1021="","",COUNTIF(CONSOLIDADO!$A:$A,$A1021))=0,"REVISAR","OK")</f>
        <v>OK</v>
      </c>
    </row>
    <row r="1022" spans="1:6" x14ac:dyDescent="0.2">
      <c r="A1022" s="312" t="s">
        <v>195</v>
      </c>
      <c r="B1022" s="313" t="s">
        <v>194</v>
      </c>
      <c r="C1022" s="312" t="s">
        <v>111</v>
      </c>
      <c r="D1022" s="314">
        <v>690</v>
      </c>
      <c r="E1022" s="313" t="s">
        <v>2276</v>
      </c>
      <c r="F1022" s="315" t="str">
        <f>IF(IF(A1022="","",COUNTIF(CONSOLIDADO!$A:$A,$A1022))=0,"REVISAR","OK")</f>
        <v>OK</v>
      </c>
    </row>
    <row r="1023" spans="1:6" x14ac:dyDescent="0.2">
      <c r="A1023" s="312" t="s">
        <v>195</v>
      </c>
      <c r="B1023" s="313" t="s">
        <v>194</v>
      </c>
      <c r="C1023" s="312" t="s">
        <v>111</v>
      </c>
      <c r="D1023" s="314">
        <v>714</v>
      </c>
      <c r="E1023" s="313" t="s">
        <v>1115</v>
      </c>
      <c r="F1023" s="315" t="str">
        <f>IF(IF(A1023="","",COUNTIF(CONSOLIDADO!$A:$A,$A1023))=0,"REVISAR","OK")</f>
        <v>OK</v>
      </c>
    </row>
    <row r="1024" spans="1:6" x14ac:dyDescent="0.2">
      <c r="A1024" s="312" t="s">
        <v>195</v>
      </c>
      <c r="B1024" s="313" t="s">
        <v>194</v>
      </c>
      <c r="C1024" s="312" t="s">
        <v>111</v>
      </c>
      <c r="D1024" s="314">
        <v>725</v>
      </c>
      <c r="E1024" s="313" t="s">
        <v>2258</v>
      </c>
      <c r="F1024" s="315" t="str">
        <f>IF(IF(A1024="","",COUNTIF(CONSOLIDADO!$A:$A,$A1024))=0,"REVISAR","OK")</f>
        <v>OK</v>
      </c>
    </row>
    <row r="1025" spans="1:6" x14ac:dyDescent="0.2">
      <c r="A1025" s="312" t="s">
        <v>195</v>
      </c>
      <c r="B1025" s="313" t="s">
        <v>194</v>
      </c>
      <c r="C1025" s="312" t="s">
        <v>111</v>
      </c>
      <c r="D1025" s="314">
        <v>750</v>
      </c>
      <c r="E1025" s="313" t="s">
        <v>2210</v>
      </c>
      <c r="F1025" s="315" t="str">
        <f>IF(IF(A1025="","",COUNTIF(CONSOLIDADO!$A:$A,$A1025))=0,"REVISAR","OK")</f>
        <v>OK</v>
      </c>
    </row>
    <row r="1026" spans="1:6" x14ac:dyDescent="0.2">
      <c r="A1026" s="312" t="s">
        <v>195</v>
      </c>
      <c r="B1026" s="313" t="s">
        <v>194</v>
      </c>
      <c r="C1026" s="312" t="s">
        <v>111</v>
      </c>
      <c r="D1026" s="314">
        <v>773</v>
      </c>
      <c r="E1026" s="313" t="s">
        <v>939</v>
      </c>
      <c r="F1026" s="315" t="str">
        <f>IF(IF(A1026="","",COUNTIF(CONSOLIDADO!$A:$A,$A1026))=0,"REVISAR","OK")</f>
        <v>OK</v>
      </c>
    </row>
    <row r="1027" spans="1:6" x14ac:dyDescent="0.2">
      <c r="A1027" s="312" t="s">
        <v>195</v>
      </c>
      <c r="B1027" s="313" t="s">
        <v>194</v>
      </c>
      <c r="C1027" s="312" t="s">
        <v>111</v>
      </c>
      <c r="D1027" s="314">
        <v>800</v>
      </c>
      <c r="E1027" s="313" t="s">
        <v>938</v>
      </c>
      <c r="F1027" s="315" t="str">
        <f>IF(IF(A1027="","",COUNTIF(CONSOLIDADO!$A:$A,$A1027))=0,"REVISAR","OK")</f>
        <v>OK</v>
      </c>
    </row>
    <row r="1028" spans="1:6" x14ac:dyDescent="0.2">
      <c r="A1028" s="312" t="s">
        <v>195</v>
      </c>
      <c r="B1028" s="313" t="s">
        <v>194</v>
      </c>
      <c r="C1028" s="312" t="s">
        <v>111</v>
      </c>
      <c r="D1028" s="314">
        <v>800</v>
      </c>
      <c r="E1028" s="313" t="s">
        <v>2210</v>
      </c>
      <c r="F1028" s="315" t="str">
        <f>IF(IF(A1028="","",COUNTIF(CONSOLIDADO!$A:$A,$A1028))=0,"REVISAR","OK")</f>
        <v>OK</v>
      </c>
    </row>
    <row r="1029" spans="1:6" x14ac:dyDescent="0.2">
      <c r="A1029" s="312" t="s">
        <v>195</v>
      </c>
      <c r="B1029" s="313" t="s">
        <v>194</v>
      </c>
      <c r="C1029" s="312" t="s">
        <v>111</v>
      </c>
      <c r="D1029" s="314">
        <v>833</v>
      </c>
      <c r="E1029" s="313" t="s">
        <v>1115</v>
      </c>
      <c r="F1029" s="315" t="str">
        <f>IF(IF(A1029="","",COUNTIF(CONSOLIDADO!$A:$A,$A1029))=0,"REVISAR","OK")</f>
        <v>OK</v>
      </c>
    </row>
    <row r="1030" spans="1:6" x14ac:dyDescent="0.2">
      <c r="A1030" s="312" t="s">
        <v>195</v>
      </c>
      <c r="B1030" s="313" t="s">
        <v>194</v>
      </c>
      <c r="C1030" s="312" t="s">
        <v>111</v>
      </c>
      <c r="D1030" s="314">
        <v>900</v>
      </c>
      <c r="E1030" s="313" t="s">
        <v>976</v>
      </c>
      <c r="F1030" s="315" t="str">
        <f>IF(IF(A1030="","",COUNTIF(CONSOLIDADO!$A:$A,$A1030))=0,"REVISAR","OK")</f>
        <v>OK</v>
      </c>
    </row>
    <row r="1031" spans="1:6" x14ac:dyDescent="0.2">
      <c r="A1031" s="312" t="s">
        <v>195</v>
      </c>
      <c r="B1031" s="313" t="s">
        <v>194</v>
      </c>
      <c r="C1031" s="312" t="s">
        <v>111</v>
      </c>
      <c r="D1031" s="314">
        <v>900</v>
      </c>
      <c r="E1031" s="313" t="s">
        <v>974</v>
      </c>
      <c r="F1031" s="315" t="str">
        <f>IF(IF(A1031="","",COUNTIF(CONSOLIDADO!$A:$A,$A1031))=0,"REVISAR","OK")</f>
        <v>OK</v>
      </c>
    </row>
    <row r="1032" spans="1:6" x14ac:dyDescent="0.2">
      <c r="A1032" s="312" t="s">
        <v>195</v>
      </c>
      <c r="B1032" s="313" t="s">
        <v>194</v>
      </c>
      <c r="C1032" s="312" t="s">
        <v>111</v>
      </c>
      <c r="D1032" s="314">
        <v>900</v>
      </c>
      <c r="E1032" s="313" t="s">
        <v>938</v>
      </c>
      <c r="F1032" s="315" t="str">
        <f>IF(IF(A1032="","",COUNTIF(CONSOLIDADO!$A:$A,$A1032))=0,"REVISAR","OK")</f>
        <v>OK</v>
      </c>
    </row>
    <row r="1033" spans="1:6" x14ac:dyDescent="0.2">
      <c r="A1033" s="312" t="s">
        <v>195</v>
      </c>
      <c r="B1033" s="313" t="s">
        <v>194</v>
      </c>
      <c r="C1033" s="312" t="s">
        <v>111</v>
      </c>
      <c r="D1033" s="314">
        <v>900</v>
      </c>
      <c r="E1033" s="313" t="s">
        <v>940</v>
      </c>
      <c r="F1033" s="315" t="str">
        <f>IF(IF(A1033="","",COUNTIF(CONSOLIDADO!$A:$A,$A1033))=0,"REVISAR","OK")</f>
        <v>OK</v>
      </c>
    </row>
    <row r="1034" spans="1:6" x14ac:dyDescent="0.2">
      <c r="A1034" s="312" t="s">
        <v>195</v>
      </c>
      <c r="B1034" s="313" t="s">
        <v>194</v>
      </c>
      <c r="C1034" s="312" t="s">
        <v>111</v>
      </c>
      <c r="D1034" s="314">
        <v>952</v>
      </c>
      <c r="E1034" s="313" t="s">
        <v>982</v>
      </c>
      <c r="F1034" s="315" t="str">
        <f>IF(IF(A1034="","",COUNTIF(CONSOLIDADO!$A:$A,$A1034))=0,"REVISAR","OK")</f>
        <v>OK</v>
      </c>
    </row>
    <row r="1035" spans="1:6" x14ac:dyDescent="0.2">
      <c r="A1035" s="312" t="s">
        <v>195</v>
      </c>
      <c r="B1035" s="313" t="s">
        <v>194</v>
      </c>
      <c r="C1035" s="312" t="s">
        <v>111</v>
      </c>
      <c r="D1035" s="314">
        <v>952</v>
      </c>
      <c r="E1035" s="313" t="s">
        <v>2258</v>
      </c>
      <c r="F1035" s="315" t="str">
        <f>IF(IF(A1035="","",COUNTIF(CONSOLIDADO!$A:$A,$A1035))=0,"REVISAR","OK")</f>
        <v>OK</v>
      </c>
    </row>
    <row r="1036" spans="1:6" x14ac:dyDescent="0.2">
      <c r="A1036" s="312" t="s">
        <v>195</v>
      </c>
      <c r="B1036" s="313" t="s">
        <v>194</v>
      </c>
      <c r="C1036" s="312" t="s">
        <v>111</v>
      </c>
      <c r="D1036" s="314">
        <v>1000</v>
      </c>
      <c r="E1036" s="313" t="s">
        <v>2073</v>
      </c>
      <c r="F1036" s="315" t="str">
        <f>IF(IF(A1036="","",COUNTIF(CONSOLIDADO!$A:$A,$A1036))=0,"REVISAR","OK")</f>
        <v>OK</v>
      </c>
    </row>
    <row r="1037" spans="1:6" x14ac:dyDescent="0.2">
      <c r="A1037" s="312" t="s">
        <v>195</v>
      </c>
      <c r="B1037" s="313" t="s">
        <v>194</v>
      </c>
      <c r="C1037" s="312" t="s">
        <v>111</v>
      </c>
      <c r="D1037" s="314">
        <v>1000</v>
      </c>
      <c r="E1037" s="313" t="s">
        <v>939</v>
      </c>
      <c r="F1037" s="315" t="str">
        <f>IF(IF(A1037="","",COUNTIF(CONSOLIDADO!$A:$A,$A1037))=0,"REVISAR","OK")</f>
        <v>OK</v>
      </c>
    </row>
    <row r="1038" spans="1:6" x14ac:dyDescent="0.2">
      <c r="A1038" s="312" t="s">
        <v>195</v>
      </c>
      <c r="B1038" s="313" t="s">
        <v>194</v>
      </c>
      <c r="C1038" s="312" t="s">
        <v>111</v>
      </c>
      <c r="D1038" s="314">
        <v>1071</v>
      </c>
      <c r="E1038" s="313" t="s">
        <v>999</v>
      </c>
      <c r="F1038" s="315" t="str">
        <f>IF(IF(A1038="","",COUNTIF(CONSOLIDADO!$A:$A,$A1038))=0,"REVISAR","OK")</f>
        <v>OK</v>
      </c>
    </row>
    <row r="1039" spans="1:6" x14ac:dyDescent="0.2">
      <c r="A1039" s="312" t="s">
        <v>195</v>
      </c>
      <c r="B1039" s="313" t="s">
        <v>194</v>
      </c>
      <c r="C1039" s="312" t="s">
        <v>111</v>
      </c>
      <c r="D1039" s="314">
        <v>1080</v>
      </c>
      <c r="E1039" s="313" t="s">
        <v>945</v>
      </c>
      <c r="F1039" s="315" t="str">
        <f>IF(IF(A1039="","",COUNTIF(CONSOLIDADO!$A:$A,$A1039))=0,"REVISAR","OK")</f>
        <v>OK</v>
      </c>
    </row>
    <row r="1040" spans="1:6" x14ac:dyDescent="0.2">
      <c r="A1040" s="312" t="s">
        <v>195</v>
      </c>
      <c r="B1040" s="313" t="s">
        <v>194</v>
      </c>
      <c r="C1040" s="312" t="s">
        <v>111</v>
      </c>
      <c r="D1040" s="314">
        <v>1081</v>
      </c>
      <c r="E1040" s="313" t="s">
        <v>945</v>
      </c>
      <c r="F1040" s="315" t="str">
        <f>IF(IF(A1040="","",COUNTIF(CONSOLIDADO!$A:$A,$A1040))=0,"REVISAR","OK")</f>
        <v>OK</v>
      </c>
    </row>
    <row r="1041" spans="1:6" x14ac:dyDescent="0.2">
      <c r="A1041" s="312" t="s">
        <v>195</v>
      </c>
      <c r="B1041" s="313" t="s">
        <v>194</v>
      </c>
      <c r="C1041" s="312" t="s">
        <v>111</v>
      </c>
      <c r="D1041" s="314">
        <v>1086</v>
      </c>
      <c r="E1041" s="313" t="s">
        <v>929</v>
      </c>
      <c r="F1041" s="315" t="str">
        <f>IF(IF(A1041="","",COUNTIF(CONSOLIDADO!$A:$A,$A1041))=0,"REVISAR","OK")</f>
        <v>OK</v>
      </c>
    </row>
    <row r="1042" spans="1:6" x14ac:dyDescent="0.2">
      <c r="A1042" s="312" t="s">
        <v>195</v>
      </c>
      <c r="B1042" s="313" t="s">
        <v>194</v>
      </c>
      <c r="C1042" s="312" t="s">
        <v>111</v>
      </c>
      <c r="D1042" s="314">
        <v>1190</v>
      </c>
      <c r="E1042" s="313" t="s">
        <v>939</v>
      </c>
      <c r="F1042" s="315" t="str">
        <f>IF(IF(A1042="","",COUNTIF(CONSOLIDADO!$A:$A,$A1042))=0,"REVISAR","OK")</f>
        <v>OK</v>
      </c>
    </row>
    <row r="1043" spans="1:6" x14ac:dyDescent="0.2">
      <c r="A1043" s="312" t="s">
        <v>195</v>
      </c>
      <c r="B1043" s="313" t="s">
        <v>194</v>
      </c>
      <c r="C1043" s="312" t="s">
        <v>111</v>
      </c>
      <c r="D1043" s="314">
        <v>1666</v>
      </c>
      <c r="E1043" s="313" t="s">
        <v>935</v>
      </c>
      <c r="F1043" s="315" t="str">
        <f>IF(IF(A1043="","",COUNTIF(CONSOLIDADO!$A:$A,$A1043))=0,"REVISAR","OK")</f>
        <v>OK</v>
      </c>
    </row>
    <row r="1044" spans="1:6" x14ac:dyDescent="0.2">
      <c r="A1044" s="312" t="s">
        <v>195</v>
      </c>
      <c r="B1044" s="313" t="s">
        <v>194</v>
      </c>
      <c r="C1044" s="312" t="s">
        <v>111</v>
      </c>
      <c r="D1044" s="314">
        <v>1785</v>
      </c>
      <c r="E1044" s="313" t="s">
        <v>948</v>
      </c>
      <c r="F1044" s="315" t="str">
        <f>IF(IF(A1044="","",COUNTIF(CONSOLIDADO!$A:$A,$A1044))=0,"REVISAR","OK")</f>
        <v>OK</v>
      </c>
    </row>
    <row r="1045" spans="1:6" x14ac:dyDescent="0.2">
      <c r="A1045" s="312" t="s">
        <v>195</v>
      </c>
      <c r="B1045" s="313" t="s">
        <v>194</v>
      </c>
      <c r="C1045" s="312" t="s">
        <v>111</v>
      </c>
      <c r="D1045" s="314">
        <v>1785</v>
      </c>
      <c r="E1045" s="313" t="s">
        <v>2238</v>
      </c>
      <c r="F1045" s="315" t="str">
        <f>IF(IF(A1045="","",COUNTIF(CONSOLIDADO!$A:$A,$A1045))=0,"REVISAR","OK")</f>
        <v>OK</v>
      </c>
    </row>
    <row r="1046" spans="1:6" x14ac:dyDescent="0.2">
      <c r="A1046" s="312" t="s">
        <v>195</v>
      </c>
      <c r="B1046" s="313" t="s">
        <v>194</v>
      </c>
      <c r="C1046" s="312" t="s">
        <v>111</v>
      </c>
      <c r="D1046" s="314">
        <v>1788</v>
      </c>
      <c r="E1046" s="313" t="s">
        <v>946</v>
      </c>
      <c r="F1046" s="315" t="str">
        <f>IF(IF(A1046="","",COUNTIF(CONSOLIDADO!$A:$A,$A1046))=0,"REVISAR","OK")</f>
        <v>OK</v>
      </c>
    </row>
    <row r="1047" spans="1:6" x14ac:dyDescent="0.2">
      <c r="A1047" s="312" t="s">
        <v>195</v>
      </c>
      <c r="B1047" s="313" t="s">
        <v>194</v>
      </c>
      <c r="C1047" s="312" t="s">
        <v>111</v>
      </c>
      <c r="D1047" s="314">
        <v>1844</v>
      </c>
      <c r="E1047" s="313" t="s">
        <v>932</v>
      </c>
      <c r="F1047" s="315" t="str">
        <f>IF(IF(A1047="","",COUNTIF(CONSOLIDADO!$A:$A,$A1047))=0,"REVISAR","OK")</f>
        <v>OK</v>
      </c>
    </row>
    <row r="1048" spans="1:6" x14ac:dyDescent="0.2">
      <c r="A1048" s="312" t="s">
        <v>195</v>
      </c>
      <c r="B1048" s="313" t="s">
        <v>194</v>
      </c>
      <c r="C1048" s="312" t="s">
        <v>111</v>
      </c>
      <c r="D1048" s="314">
        <v>1845</v>
      </c>
      <c r="E1048" s="313" t="s">
        <v>934</v>
      </c>
      <c r="F1048" s="315" t="str">
        <f>IF(IF(A1048="","",COUNTIF(CONSOLIDADO!$A:$A,$A1048))=0,"REVISAR","OK")</f>
        <v>OK</v>
      </c>
    </row>
    <row r="1049" spans="1:6" x14ac:dyDescent="0.2">
      <c r="A1049" s="312" t="s">
        <v>195</v>
      </c>
      <c r="B1049" s="313" t="s">
        <v>194</v>
      </c>
      <c r="C1049" s="312" t="s">
        <v>111</v>
      </c>
      <c r="D1049" s="314">
        <v>1846</v>
      </c>
      <c r="E1049" s="313" t="s">
        <v>943</v>
      </c>
      <c r="F1049" s="315" t="str">
        <f>IF(IF(A1049="","",COUNTIF(CONSOLIDADO!$A:$A,$A1049))=0,"REVISAR","OK")</f>
        <v>OK</v>
      </c>
    </row>
    <row r="1050" spans="1:6" x14ac:dyDescent="0.2">
      <c r="A1050" s="312" t="s">
        <v>195</v>
      </c>
      <c r="B1050" s="313" t="s">
        <v>194</v>
      </c>
      <c r="C1050" s="312" t="s">
        <v>111</v>
      </c>
      <c r="D1050" s="314">
        <v>1846</v>
      </c>
      <c r="E1050" s="313" t="s">
        <v>2005</v>
      </c>
      <c r="F1050" s="315" t="str">
        <f>IF(IF(A1050="","",COUNTIF(CONSOLIDADO!$A:$A,$A1050))=0,"REVISAR","OK")</f>
        <v>OK</v>
      </c>
    </row>
    <row r="1051" spans="1:6" x14ac:dyDescent="0.2">
      <c r="A1051" s="312" t="s">
        <v>195</v>
      </c>
      <c r="B1051" s="313" t="s">
        <v>194</v>
      </c>
      <c r="C1051" s="312" t="s">
        <v>111</v>
      </c>
      <c r="D1051" s="314">
        <v>1846</v>
      </c>
      <c r="E1051" s="313" t="s">
        <v>2070</v>
      </c>
      <c r="F1051" s="315" t="str">
        <f>IF(IF(A1051="","",COUNTIF(CONSOLIDADO!$A:$A,$A1051))=0,"REVISAR","OK")</f>
        <v>OK</v>
      </c>
    </row>
    <row r="1052" spans="1:6" x14ac:dyDescent="0.2">
      <c r="A1052" s="312" t="s">
        <v>195</v>
      </c>
      <c r="B1052" s="313" t="s">
        <v>194</v>
      </c>
      <c r="C1052" s="312" t="s">
        <v>111</v>
      </c>
      <c r="D1052" s="314">
        <v>1846</v>
      </c>
      <c r="E1052" s="313" t="s">
        <v>948</v>
      </c>
      <c r="F1052" s="315" t="str">
        <f>IF(IF(A1052="","",COUNTIF(CONSOLIDADO!$A:$A,$A1052))=0,"REVISAR","OK")</f>
        <v>OK</v>
      </c>
    </row>
    <row r="1053" spans="1:6" x14ac:dyDescent="0.2">
      <c r="A1053" s="312" t="s">
        <v>195</v>
      </c>
      <c r="B1053" s="313" t="s">
        <v>194</v>
      </c>
      <c r="C1053" s="312" t="s">
        <v>111</v>
      </c>
      <c r="D1053" s="314">
        <v>1846</v>
      </c>
      <c r="E1053" s="313" t="s">
        <v>2238</v>
      </c>
      <c r="F1053" s="315" t="str">
        <f>IF(IF(A1053="","",COUNTIF(CONSOLIDADO!$A:$A,$A1053))=0,"REVISAR","OK")</f>
        <v>OK</v>
      </c>
    </row>
    <row r="1054" spans="1:6" x14ac:dyDescent="0.2">
      <c r="A1054" s="312" t="s">
        <v>195</v>
      </c>
      <c r="B1054" s="313" t="s">
        <v>194</v>
      </c>
      <c r="C1054" s="312" t="s">
        <v>111</v>
      </c>
      <c r="D1054" s="314">
        <v>1846</v>
      </c>
      <c r="E1054" s="313" t="s">
        <v>935</v>
      </c>
      <c r="F1054" s="315" t="str">
        <f>IF(IF(A1054="","",COUNTIF(CONSOLIDADO!$A:$A,$A1054))=0,"REVISAR","OK")</f>
        <v>OK</v>
      </c>
    </row>
    <row r="1055" spans="1:6" x14ac:dyDescent="0.2">
      <c r="A1055" s="312" t="s">
        <v>195</v>
      </c>
      <c r="B1055" s="313" t="s">
        <v>194</v>
      </c>
      <c r="C1055" s="312" t="s">
        <v>111</v>
      </c>
      <c r="D1055" s="314">
        <v>1849</v>
      </c>
      <c r="E1055" s="313" t="s">
        <v>2297</v>
      </c>
      <c r="F1055" s="315" t="str">
        <f>IF(IF(A1055="","",COUNTIF(CONSOLIDADO!$A:$A,$A1055))=0,"REVISAR","OK")</f>
        <v>OK</v>
      </c>
    </row>
    <row r="1056" spans="1:6" x14ac:dyDescent="0.2">
      <c r="A1056" s="312" t="s">
        <v>195</v>
      </c>
      <c r="B1056" s="313" t="s">
        <v>194</v>
      </c>
      <c r="C1056" s="312" t="s">
        <v>111</v>
      </c>
      <c r="D1056" s="314">
        <v>2000</v>
      </c>
      <c r="E1056" s="313" t="s">
        <v>2232</v>
      </c>
      <c r="F1056" s="315" t="str">
        <f>IF(IF(A1056="","",COUNTIF(CONSOLIDADO!$A:$A,$A1056))=0,"REVISAR","OK")</f>
        <v>OK</v>
      </c>
    </row>
    <row r="1057" spans="1:6" x14ac:dyDescent="0.2">
      <c r="A1057" s="312" t="s">
        <v>731</v>
      </c>
      <c r="B1057" s="313" t="s">
        <v>391</v>
      </c>
      <c r="C1057" s="312" t="s">
        <v>906</v>
      </c>
      <c r="D1057" s="314">
        <v>790</v>
      </c>
      <c r="E1057" s="313" t="s">
        <v>945</v>
      </c>
      <c r="F1057" s="315" t="str">
        <f>IF(IF(A1057="","",COUNTIF(CONSOLIDADO!$A:$A,$A1057))=0,"REVISAR","OK")</f>
        <v>OK</v>
      </c>
    </row>
    <row r="1058" spans="1:6" x14ac:dyDescent="0.2">
      <c r="A1058" s="312" t="s">
        <v>1390</v>
      </c>
      <c r="B1058" s="313" t="s">
        <v>1047</v>
      </c>
      <c r="C1058" s="312" t="s">
        <v>15</v>
      </c>
      <c r="D1058" s="314">
        <v>4900</v>
      </c>
      <c r="E1058" s="313" t="s">
        <v>931</v>
      </c>
      <c r="F1058" s="315" t="str">
        <f>IF(IF(A1058="","",COUNTIF(CONSOLIDADO!$A:$A,$A1058))=0,"REVISAR","OK")</f>
        <v>OK</v>
      </c>
    </row>
    <row r="1059" spans="1:6" x14ac:dyDescent="0.2">
      <c r="A1059" s="312" t="s">
        <v>1390</v>
      </c>
      <c r="B1059" s="313" t="s">
        <v>1047</v>
      </c>
      <c r="C1059" s="312" t="s">
        <v>15</v>
      </c>
      <c r="D1059" s="314">
        <v>8000</v>
      </c>
      <c r="E1059" s="313" t="s">
        <v>938</v>
      </c>
      <c r="F1059" s="315" t="str">
        <f>IF(IF(A1059="","",COUNTIF(CONSOLIDADO!$A:$A,$A1059))=0,"REVISAR","OK")</f>
        <v>OK</v>
      </c>
    </row>
    <row r="1060" spans="1:6" x14ac:dyDescent="0.2">
      <c r="A1060" s="312" t="s">
        <v>1046</v>
      </c>
      <c r="B1060" s="313" t="s">
        <v>1047</v>
      </c>
      <c r="C1060" s="312" t="s">
        <v>111</v>
      </c>
      <c r="D1060" s="314">
        <v>249</v>
      </c>
      <c r="E1060" s="313" t="s">
        <v>944</v>
      </c>
      <c r="F1060" s="315" t="str">
        <f>IF(IF(A1060="","",COUNTIF(CONSOLIDADO!$A:$A,$A1060))=0,"REVISAR","OK")</f>
        <v>OK</v>
      </c>
    </row>
    <row r="1061" spans="1:6" x14ac:dyDescent="0.2">
      <c r="A1061" s="312" t="s">
        <v>1046</v>
      </c>
      <c r="B1061" s="313" t="s">
        <v>1047</v>
      </c>
      <c r="C1061" s="312" t="s">
        <v>111</v>
      </c>
      <c r="D1061" s="314">
        <v>357</v>
      </c>
      <c r="E1061" s="313" t="s">
        <v>2258</v>
      </c>
      <c r="F1061" s="315" t="str">
        <f>IF(IF(A1061="","",COUNTIF(CONSOLIDADO!$A:$A,$A1061))=0,"REVISAR","OK")</f>
        <v>OK</v>
      </c>
    </row>
    <row r="1062" spans="1:6" x14ac:dyDescent="0.2">
      <c r="A1062" s="312" t="s">
        <v>1049</v>
      </c>
      <c r="B1062" s="313" t="s">
        <v>51</v>
      </c>
      <c r="C1062" s="312" t="s">
        <v>111</v>
      </c>
      <c r="D1062" s="314">
        <v>950</v>
      </c>
      <c r="E1062" s="313" t="s">
        <v>2176</v>
      </c>
      <c r="F1062" s="315" t="str">
        <f>IF(IF(A1062="","",COUNTIF(CONSOLIDADO!$A:$A,$A1062))=0,"REVISAR","OK")</f>
        <v>OK</v>
      </c>
    </row>
    <row r="1063" spans="1:6" x14ac:dyDescent="0.2">
      <c r="A1063" s="312" t="s">
        <v>1049</v>
      </c>
      <c r="B1063" s="313" t="s">
        <v>51</v>
      </c>
      <c r="C1063" s="312" t="s">
        <v>111</v>
      </c>
      <c r="D1063" s="314">
        <v>1532</v>
      </c>
      <c r="E1063" s="313" t="s">
        <v>2238</v>
      </c>
      <c r="F1063" s="315" t="str">
        <f>IF(IF(A1063="","",COUNTIF(CONSOLIDADO!$A:$A,$A1063))=0,"REVISAR","OK")</f>
        <v>OK</v>
      </c>
    </row>
    <row r="1064" spans="1:6" x14ac:dyDescent="0.2">
      <c r="A1064" s="312" t="s">
        <v>690</v>
      </c>
      <c r="B1064" s="313" t="s">
        <v>440</v>
      </c>
      <c r="C1064" s="312" t="s">
        <v>15</v>
      </c>
      <c r="D1064" s="314">
        <v>4500</v>
      </c>
      <c r="E1064" s="313" t="s">
        <v>943</v>
      </c>
      <c r="F1064" s="315" t="str">
        <f>IF(IF(A1064="","",COUNTIF(CONSOLIDADO!$A:$A,$A1064))=0,"REVISAR","OK")</f>
        <v>OK</v>
      </c>
    </row>
    <row r="1065" spans="1:6" x14ac:dyDescent="0.2">
      <c r="A1065" s="312" t="s">
        <v>772</v>
      </c>
      <c r="B1065" s="313" t="s">
        <v>152</v>
      </c>
      <c r="C1065" s="312" t="s">
        <v>111</v>
      </c>
      <c r="D1065" s="314">
        <v>214</v>
      </c>
      <c r="E1065" s="313" t="s">
        <v>929</v>
      </c>
      <c r="F1065" s="315" t="str">
        <f>IF(IF(A1065="","",COUNTIF(CONSOLIDADO!$A:$A,$A1065))=0,"REVISAR","OK")</f>
        <v>OK</v>
      </c>
    </row>
    <row r="1066" spans="1:6" x14ac:dyDescent="0.2">
      <c r="A1066" s="312" t="s">
        <v>772</v>
      </c>
      <c r="B1066" s="313" t="s">
        <v>152</v>
      </c>
      <c r="C1066" s="312" t="s">
        <v>111</v>
      </c>
      <c r="D1066" s="314">
        <v>226</v>
      </c>
      <c r="E1066" s="313" t="s">
        <v>982</v>
      </c>
      <c r="F1066" s="315" t="str">
        <f>IF(IF(A1066="","",COUNTIF(CONSOLIDADO!$A:$A,$A1066))=0,"REVISAR","OK")</f>
        <v>OK</v>
      </c>
    </row>
    <row r="1067" spans="1:6" x14ac:dyDescent="0.2">
      <c r="A1067" s="312" t="s">
        <v>772</v>
      </c>
      <c r="B1067" s="313" t="s">
        <v>152</v>
      </c>
      <c r="C1067" s="312" t="s">
        <v>111</v>
      </c>
      <c r="D1067" s="314">
        <v>238</v>
      </c>
      <c r="E1067" s="313" t="s">
        <v>951</v>
      </c>
      <c r="F1067" s="315" t="str">
        <f>IF(IF(A1067="","",COUNTIF(CONSOLIDADO!$A:$A,$A1067))=0,"REVISAR","OK")</f>
        <v>OK</v>
      </c>
    </row>
    <row r="1068" spans="1:6" x14ac:dyDescent="0.2">
      <c r="A1068" s="312" t="s">
        <v>772</v>
      </c>
      <c r="B1068" s="313" t="s">
        <v>152</v>
      </c>
      <c r="C1068" s="312" t="s">
        <v>111</v>
      </c>
      <c r="D1068" s="314">
        <v>248</v>
      </c>
      <c r="E1068" s="313" t="s">
        <v>938</v>
      </c>
      <c r="F1068" s="315" t="str">
        <f>IF(IF(A1068="","",COUNTIF(CONSOLIDADO!$A:$A,$A1068))=0,"REVISAR","OK")</f>
        <v>OK</v>
      </c>
    </row>
    <row r="1069" spans="1:6" x14ac:dyDescent="0.2">
      <c r="A1069" s="312" t="s">
        <v>772</v>
      </c>
      <c r="B1069" s="313" t="s">
        <v>152</v>
      </c>
      <c r="C1069" s="312" t="s">
        <v>111</v>
      </c>
      <c r="D1069" s="314">
        <v>255</v>
      </c>
      <c r="E1069" s="313" t="s">
        <v>932</v>
      </c>
      <c r="F1069" s="315" t="str">
        <f>IF(IF(A1069="","",COUNTIF(CONSOLIDADO!$A:$A,$A1069))=0,"REVISAR","OK")</f>
        <v>OK</v>
      </c>
    </row>
    <row r="1070" spans="1:6" x14ac:dyDescent="0.2">
      <c r="A1070" s="312" t="s">
        <v>772</v>
      </c>
      <c r="B1070" s="313" t="s">
        <v>152</v>
      </c>
      <c r="C1070" s="312" t="s">
        <v>111</v>
      </c>
      <c r="D1070" s="314">
        <v>260</v>
      </c>
      <c r="E1070" s="313" t="s">
        <v>2297</v>
      </c>
      <c r="F1070" s="315" t="str">
        <f>IF(IF(A1070="","",COUNTIF(CONSOLIDADO!$A:$A,$A1070))=0,"REVISAR","OK")</f>
        <v>OK</v>
      </c>
    </row>
    <row r="1071" spans="1:6" x14ac:dyDescent="0.2">
      <c r="A1071" s="312" t="s">
        <v>772</v>
      </c>
      <c r="B1071" s="313" t="s">
        <v>152</v>
      </c>
      <c r="C1071" s="312" t="s">
        <v>111</v>
      </c>
      <c r="D1071" s="314">
        <v>270</v>
      </c>
      <c r="E1071" s="313" t="s">
        <v>951</v>
      </c>
      <c r="F1071" s="315" t="str">
        <f>IF(IF(A1071="","",COUNTIF(CONSOLIDADO!$A:$A,$A1071))=0,"REVISAR","OK")</f>
        <v>OK</v>
      </c>
    </row>
    <row r="1072" spans="1:6" x14ac:dyDescent="0.2">
      <c r="A1072" s="312" t="s">
        <v>772</v>
      </c>
      <c r="B1072" s="313" t="s">
        <v>152</v>
      </c>
      <c r="C1072" s="312" t="s">
        <v>111</v>
      </c>
      <c r="D1072" s="314">
        <v>273</v>
      </c>
      <c r="E1072" s="313" t="s">
        <v>937</v>
      </c>
      <c r="F1072" s="315" t="str">
        <f>IF(IF(A1072="","",COUNTIF(CONSOLIDADO!$A:$A,$A1072))=0,"REVISAR","OK")</f>
        <v>OK</v>
      </c>
    </row>
    <row r="1073" spans="1:6" x14ac:dyDescent="0.2">
      <c r="A1073" s="312" t="s">
        <v>772</v>
      </c>
      <c r="B1073" s="313" t="s">
        <v>152</v>
      </c>
      <c r="C1073" s="312" t="s">
        <v>111</v>
      </c>
      <c r="D1073" s="314">
        <v>274</v>
      </c>
      <c r="E1073" s="313" t="s">
        <v>948</v>
      </c>
      <c r="F1073" s="315" t="str">
        <f>IF(IF(A1073="","",COUNTIF(CONSOLIDADO!$A:$A,$A1073))=0,"REVISAR","OK")</f>
        <v>OK</v>
      </c>
    </row>
    <row r="1074" spans="1:6" x14ac:dyDescent="0.2">
      <c r="A1074" s="312" t="s">
        <v>772</v>
      </c>
      <c r="B1074" s="313" t="s">
        <v>152</v>
      </c>
      <c r="C1074" s="312" t="s">
        <v>111</v>
      </c>
      <c r="D1074" s="314">
        <v>274</v>
      </c>
      <c r="E1074" s="313" t="s">
        <v>933</v>
      </c>
      <c r="F1074" s="315" t="str">
        <f>IF(IF(A1074="","",COUNTIF(CONSOLIDADO!$A:$A,$A1074))=0,"REVISAR","OK")</f>
        <v>OK</v>
      </c>
    </row>
    <row r="1075" spans="1:6" x14ac:dyDescent="0.2">
      <c r="A1075" s="312" t="s">
        <v>772</v>
      </c>
      <c r="B1075" s="313" t="s">
        <v>152</v>
      </c>
      <c r="C1075" s="312" t="s">
        <v>111</v>
      </c>
      <c r="D1075" s="314">
        <v>274</v>
      </c>
      <c r="E1075" s="313" t="s">
        <v>2005</v>
      </c>
      <c r="F1075" s="315" t="str">
        <f>IF(IF(A1075="","",COUNTIF(CONSOLIDADO!$A:$A,$A1075))=0,"REVISAR","OK")</f>
        <v>OK</v>
      </c>
    </row>
    <row r="1076" spans="1:6" x14ac:dyDescent="0.2">
      <c r="A1076" s="312" t="s">
        <v>772</v>
      </c>
      <c r="B1076" s="313" t="s">
        <v>152</v>
      </c>
      <c r="C1076" s="312" t="s">
        <v>111</v>
      </c>
      <c r="D1076" s="314">
        <v>297</v>
      </c>
      <c r="E1076" s="313" t="s">
        <v>935</v>
      </c>
      <c r="F1076" s="315" t="str">
        <f>IF(IF(A1076="","",COUNTIF(CONSOLIDADO!$A:$A,$A1076))=0,"REVISAR","OK")</f>
        <v>OK</v>
      </c>
    </row>
    <row r="1077" spans="1:6" x14ac:dyDescent="0.2">
      <c r="A1077" s="312" t="s">
        <v>772</v>
      </c>
      <c r="B1077" s="313" t="s">
        <v>152</v>
      </c>
      <c r="C1077" s="312" t="s">
        <v>111</v>
      </c>
      <c r="D1077" s="314">
        <v>357</v>
      </c>
      <c r="E1077" s="313" t="s">
        <v>935</v>
      </c>
      <c r="F1077" s="315" t="str">
        <f>IF(IF(A1077="","",COUNTIF(CONSOLIDADO!$A:$A,$A1077))=0,"REVISAR","OK")</f>
        <v>OK</v>
      </c>
    </row>
    <row r="1078" spans="1:6" x14ac:dyDescent="0.2">
      <c r="A1078" s="312" t="s">
        <v>1050</v>
      </c>
      <c r="B1078" s="313" t="s">
        <v>507</v>
      </c>
      <c r="C1078" s="312" t="s">
        <v>15</v>
      </c>
      <c r="D1078" s="314">
        <v>12495</v>
      </c>
      <c r="E1078" s="313" t="s">
        <v>935</v>
      </c>
      <c r="F1078" s="315" t="str">
        <f>IF(IF(A1078="","",COUNTIF(CONSOLIDADO!$A:$A,$A1078))=0,"REVISAR","OK")</f>
        <v>OK</v>
      </c>
    </row>
    <row r="1079" spans="1:6" x14ac:dyDescent="0.2">
      <c r="A1079" s="312" t="s">
        <v>1050</v>
      </c>
      <c r="B1079" s="313" t="s">
        <v>507</v>
      </c>
      <c r="C1079" s="312" t="s">
        <v>15</v>
      </c>
      <c r="D1079" s="314">
        <v>14875</v>
      </c>
      <c r="E1079" s="313" t="s">
        <v>935</v>
      </c>
      <c r="F1079" s="315" t="str">
        <f>IF(IF(A1079="","",COUNTIF(CONSOLIDADO!$A:$A,$A1079))=0,"REVISAR","OK")</f>
        <v>OK</v>
      </c>
    </row>
    <row r="1080" spans="1:6" x14ac:dyDescent="0.2">
      <c r="A1080" s="312" t="s">
        <v>1050</v>
      </c>
      <c r="B1080" s="313" t="s">
        <v>507</v>
      </c>
      <c r="C1080" s="312" t="s">
        <v>15</v>
      </c>
      <c r="D1080" s="314">
        <v>15400</v>
      </c>
      <c r="E1080" s="313" t="s">
        <v>936</v>
      </c>
      <c r="F1080" s="315" t="str">
        <f>IF(IF(A1080="","",COUNTIF(CONSOLIDADO!$A:$A,$A1080))=0,"REVISAR","OK")</f>
        <v>OK</v>
      </c>
    </row>
    <row r="1081" spans="1:6" x14ac:dyDescent="0.2">
      <c r="A1081" s="312" t="s">
        <v>729</v>
      </c>
      <c r="B1081" s="313" t="s">
        <v>1051</v>
      </c>
      <c r="C1081" s="312" t="s">
        <v>15</v>
      </c>
      <c r="D1081" s="314">
        <v>5000</v>
      </c>
      <c r="E1081" s="313" t="s">
        <v>943</v>
      </c>
      <c r="F1081" s="315" t="str">
        <f>IF(IF(A1081="","",COUNTIF(CONSOLIDADO!$A:$A,$A1081))=0,"REVISAR","OK")</f>
        <v>OK</v>
      </c>
    </row>
    <row r="1082" spans="1:6" x14ac:dyDescent="0.2">
      <c r="A1082" s="312" t="s">
        <v>729</v>
      </c>
      <c r="B1082" s="313" t="s">
        <v>1051</v>
      </c>
      <c r="C1082" s="312" t="s">
        <v>15</v>
      </c>
      <c r="D1082" s="314">
        <v>6545</v>
      </c>
      <c r="E1082" s="313" t="s">
        <v>982</v>
      </c>
      <c r="F1082" s="315" t="str">
        <f>IF(IF(A1082="","",COUNTIF(CONSOLIDADO!$A:$A,$A1082))=0,"REVISAR","OK")</f>
        <v>OK</v>
      </c>
    </row>
    <row r="1083" spans="1:6" x14ac:dyDescent="0.2">
      <c r="A1083" s="312" t="s">
        <v>808</v>
      </c>
      <c r="B1083" s="313" t="s">
        <v>1052</v>
      </c>
      <c r="C1083" s="312" t="s">
        <v>15</v>
      </c>
      <c r="D1083" s="314">
        <v>1785</v>
      </c>
      <c r="E1083" s="313" t="s">
        <v>946</v>
      </c>
      <c r="F1083" s="315" t="str">
        <f>IF(IF(A1083="","",COUNTIF(CONSOLIDADO!$A:$A,$A1083))=0,"REVISAR","OK")</f>
        <v>OK</v>
      </c>
    </row>
    <row r="1084" spans="1:6" x14ac:dyDescent="0.2">
      <c r="A1084" s="312" t="s">
        <v>808</v>
      </c>
      <c r="B1084" s="313" t="s">
        <v>1052</v>
      </c>
      <c r="C1084" s="312" t="s">
        <v>15</v>
      </c>
      <c r="D1084" s="314">
        <v>1890</v>
      </c>
      <c r="E1084" s="313" t="s">
        <v>943</v>
      </c>
      <c r="F1084" s="315" t="str">
        <f>IF(IF(A1084="","",COUNTIF(CONSOLIDADO!$A:$A,$A1084))=0,"REVISAR","OK")</f>
        <v>OK</v>
      </c>
    </row>
    <row r="1085" spans="1:6" x14ac:dyDescent="0.2">
      <c r="A1085" s="312" t="s">
        <v>808</v>
      </c>
      <c r="B1085" s="313" t="s">
        <v>1052</v>
      </c>
      <c r="C1085" s="312" t="s">
        <v>15</v>
      </c>
      <c r="D1085" s="314">
        <v>1990</v>
      </c>
      <c r="E1085" s="313" t="s">
        <v>2073</v>
      </c>
      <c r="F1085" s="315" t="str">
        <f>IF(IF(A1085="","",COUNTIF(CONSOLIDADO!$A:$A,$A1085))=0,"REVISAR","OK")</f>
        <v>OK</v>
      </c>
    </row>
    <row r="1086" spans="1:6" x14ac:dyDescent="0.2">
      <c r="A1086" s="312" t="s">
        <v>808</v>
      </c>
      <c r="B1086" s="313" t="s">
        <v>1052</v>
      </c>
      <c r="C1086" s="312" t="s">
        <v>15</v>
      </c>
      <c r="D1086" s="314">
        <v>2023</v>
      </c>
      <c r="E1086" s="313" t="s">
        <v>939</v>
      </c>
      <c r="F1086" s="315" t="str">
        <f>IF(IF(A1086="","",COUNTIF(CONSOLIDADO!$A:$A,$A1086))=0,"REVISAR","OK")</f>
        <v>OK</v>
      </c>
    </row>
    <row r="1087" spans="1:6" x14ac:dyDescent="0.2">
      <c r="A1087" s="312" t="s">
        <v>808</v>
      </c>
      <c r="B1087" s="313" t="s">
        <v>1052</v>
      </c>
      <c r="C1087" s="312" t="s">
        <v>15</v>
      </c>
      <c r="D1087" s="314">
        <v>2090</v>
      </c>
      <c r="E1087" s="313" t="s">
        <v>2073</v>
      </c>
      <c r="F1087" s="315" t="str">
        <f>IF(IF(A1087="","",COUNTIF(CONSOLIDADO!$A:$A,$A1087))=0,"REVISAR","OK")</f>
        <v>OK</v>
      </c>
    </row>
    <row r="1088" spans="1:6" x14ac:dyDescent="0.2">
      <c r="A1088" s="312" t="s">
        <v>808</v>
      </c>
      <c r="B1088" s="313" t="s">
        <v>1052</v>
      </c>
      <c r="C1088" s="312" t="s">
        <v>15</v>
      </c>
      <c r="D1088" s="314">
        <v>2142</v>
      </c>
      <c r="E1088" s="313" t="s">
        <v>940</v>
      </c>
      <c r="F1088" s="315" t="str">
        <f>IF(IF(A1088="","",COUNTIF(CONSOLIDADO!$A:$A,$A1088))=0,"REVISAR","OK")</f>
        <v>OK</v>
      </c>
    </row>
    <row r="1089" spans="1:6" x14ac:dyDescent="0.2">
      <c r="A1089" s="312" t="s">
        <v>808</v>
      </c>
      <c r="B1089" s="313" t="s">
        <v>1052</v>
      </c>
      <c r="C1089" s="312" t="s">
        <v>15</v>
      </c>
      <c r="D1089" s="314">
        <v>2599</v>
      </c>
      <c r="E1089" s="313" t="s">
        <v>929</v>
      </c>
      <c r="F1089" s="315" t="str">
        <f>IF(IF(A1089="","",COUNTIF(CONSOLIDADO!$A:$A,$A1089))=0,"REVISAR","OK")</f>
        <v>OK</v>
      </c>
    </row>
    <row r="1090" spans="1:6" x14ac:dyDescent="0.2">
      <c r="A1090" s="312" t="s">
        <v>808</v>
      </c>
      <c r="B1090" s="313" t="s">
        <v>1052</v>
      </c>
      <c r="C1090" s="312" t="s">
        <v>15</v>
      </c>
      <c r="D1090" s="314">
        <v>2599</v>
      </c>
      <c r="E1090" s="313" t="s">
        <v>2005</v>
      </c>
      <c r="F1090" s="315" t="str">
        <f>IF(IF(A1090="","",COUNTIF(CONSOLIDADO!$A:$A,$A1090))=0,"REVISAR","OK")</f>
        <v>OK</v>
      </c>
    </row>
    <row r="1091" spans="1:6" x14ac:dyDescent="0.2">
      <c r="A1091" s="312" t="s">
        <v>808</v>
      </c>
      <c r="B1091" s="313" t="s">
        <v>1052</v>
      </c>
      <c r="C1091" s="312" t="s">
        <v>15</v>
      </c>
      <c r="D1091" s="314">
        <v>2990</v>
      </c>
      <c r="E1091" s="313" t="s">
        <v>2276</v>
      </c>
      <c r="F1091" s="315" t="str">
        <f>IF(IF(A1091="","",COUNTIF(CONSOLIDADO!$A:$A,$A1091))=0,"REVISAR","OK")</f>
        <v>OK</v>
      </c>
    </row>
    <row r="1092" spans="1:6" x14ac:dyDescent="0.2">
      <c r="A1092" s="312" t="s">
        <v>808</v>
      </c>
      <c r="B1092" s="313" t="s">
        <v>1052</v>
      </c>
      <c r="C1092" s="312" t="s">
        <v>15</v>
      </c>
      <c r="D1092" s="314">
        <v>3074</v>
      </c>
      <c r="E1092" s="313" t="s">
        <v>935</v>
      </c>
      <c r="F1092" s="315" t="str">
        <f>IF(IF(A1092="","",COUNTIF(CONSOLIDADO!$A:$A,$A1092))=0,"REVISAR","OK")</f>
        <v>OK</v>
      </c>
    </row>
    <row r="1093" spans="1:6" x14ac:dyDescent="0.2">
      <c r="A1093" s="312" t="s">
        <v>808</v>
      </c>
      <c r="B1093" s="313" t="s">
        <v>1052</v>
      </c>
      <c r="C1093" s="312" t="s">
        <v>15</v>
      </c>
      <c r="D1093" s="314">
        <v>3190</v>
      </c>
      <c r="E1093" s="313" t="s">
        <v>930</v>
      </c>
      <c r="F1093" s="315" t="str">
        <f>IF(IF(A1093="","",COUNTIF(CONSOLIDADO!$A:$A,$A1093))=0,"REVISAR","OK")</f>
        <v>OK</v>
      </c>
    </row>
    <row r="1094" spans="1:6" x14ac:dyDescent="0.2">
      <c r="A1094" s="312" t="s">
        <v>836</v>
      </c>
      <c r="B1094" s="313" t="s">
        <v>624</v>
      </c>
      <c r="C1094" s="312" t="s">
        <v>15</v>
      </c>
      <c r="D1094" s="314">
        <v>2537</v>
      </c>
      <c r="E1094" s="313" t="s">
        <v>2232</v>
      </c>
      <c r="F1094" s="315" t="str">
        <f>IF(IF(A1094="","",COUNTIF(CONSOLIDADO!$A:$A,$A1094))=0,"REVISAR","OK")</f>
        <v>OK</v>
      </c>
    </row>
    <row r="1095" spans="1:6" x14ac:dyDescent="0.2">
      <c r="A1095" s="312" t="s">
        <v>836</v>
      </c>
      <c r="B1095" s="313" t="s">
        <v>624</v>
      </c>
      <c r="C1095" s="312" t="s">
        <v>15</v>
      </c>
      <c r="D1095" s="314">
        <v>3390</v>
      </c>
      <c r="E1095" s="313" t="s">
        <v>2232</v>
      </c>
      <c r="F1095" s="315" t="str">
        <f>IF(IF(A1095="","",COUNTIF(CONSOLIDADO!$A:$A,$A1095))=0,"REVISAR","OK")</f>
        <v>OK</v>
      </c>
    </row>
    <row r="1096" spans="1:6" x14ac:dyDescent="0.2">
      <c r="A1096" s="312" t="s">
        <v>727</v>
      </c>
      <c r="B1096" s="313" t="s">
        <v>33</v>
      </c>
      <c r="C1096" s="312" t="s">
        <v>942</v>
      </c>
      <c r="D1096" s="314">
        <v>2190</v>
      </c>
      <c r="E1096" s="313" t="s">
        <v>2176</v>
      </c>
      <c r="F1096" s="315" t="str">
        <f>IF(IF(A1096="","",COUNTIF(CONSOLIDADO!$A:$A,$A1096))=0,"REVISAR","OK")</f>
        <v>OK</v>
      </c>
    </row>
    <row r="1097" spans="1:6" x14ac:dyDescent="0.2">
      <c r="A1097" s="312" t="s">
        <v>727</v>
      </c>
      <c r="B1097" s="313" t="s">
        <v>33</v>
      </c>
      <c r="C1097" s="312" t="s">
        <v>942</v>
      </c>
      <c r="D1097" s="314">
        <v>2500</v>
      </c>
      <c r="E1097" s="313" t="s">
        <v>2211</v>
      </c>
      <c r="F1097" s="315" t="str">
        <f>IF(IF(A1097="","",COUNTIF(CONSOLIDADO!$A:$A,$A1097))=0,"REVISAR","OK")</f>
        <v>OK</v>
      </c>
    </row>
    <row r="1098" spans="1:6" x14ac:dyDescent="0.2">
      <c r="A1098" s="312" t="s">
        <v>672</v>
      </c>
      <c r="B1098" s="313" t="s">
        <v>1055</v>
      </c>
      <c r="C1098" s="312" t="s">
        <v>15</v>
      </c>
      <c r="D1098" s="314">
        <v>2856</v>
      </c>
      <c r="E1098" s="313" t="s">
        <v>929</v>
      </c>
      <c r="F1098" s="315" t="str">
        <f>IF(IF(A1098="","",COUNTIF(CONSOLIDADO!$A:$A,$A1098))=0,"REVISAR","OK")</f>
        <v>OK</v>
      </c>
    </row>
    <row r="1099" spans="1:6" x14ac:dyDescent="0.2">
      <c r="A1099" s="312" t="s">
        <v>672</v>
      </c>
      <c r="B1099" s="313" t="s">
        <v>1055</v>
      </c>
      <c r="C1099" s="312" t="s">
        <v>15</v>
      </c>
      <c r="D1099" s="314">
        <v>2975</v>
      </c>
      <c r="E1099" s="313" t="s">
        <v>982</v>
      </c>
      <c r="F1099" s="315" t="str">
        <f>IF(IF(A1099="","",COUNTIF(CONSOLIDADO!$A:$A,$A1099))=0,"REVISAR","OK")</f>
        <v>OK</v>
      </c>
    </row>
    <row r="1100" spans="1:6" x14ac:dyDescent="0.2">
      <c r="A1100" s="312" t="s">
        <v>672</v>
      </c>
      <c r="B1100" s="313" t="s">
        <v>1055</v>
      </c>
      <c r="C1100" s="312" t="s">
        <v>15</v>
      </c>
      <c r="D1100" s="314">
        <v>3293</v>
      </c>
      <c r="E1100" s="313" t="s">
        <v>933</v>
      </c>
      <c r="F1100" s="315" t="str">
        <f>IF(IF(A1100="","",COUNTIF(CONSOLIDADO!$A:$A,$A1100))=0,"REVISAR","OK")</f>
        <v>OK</v>
      </c>
    </row>
    <row r="1101" spans="1:6" x14ac:dyDescent="0.2">
      <c r="A1101" s="312" t="s">
        <v>673</v>
      </c>
      <c r="B1101" s="313" t="s">
        <v>395</v>
      </c>
      <c r="C1101" s="312" t="s">
        <v>15</v>
      </c>
      <c r="D1101" s="314">
        <v>3000</v>
      </c>
      <c r="E1101" s="313" t="s">
        <v>944</v>
      </c>
      <c r="F1101" s="315" t="str">
        <f>IF(IF(A1101="","",COUNTIF(CONSOLIDADO!$A:$A,$A1101))=0,"REVISAR","OK")</f>
        <v>OK</v>
      </c>
    </row>
    <row r="1102" spans="1:6" x14ac:dyDescent="0.2">
      <c r="A1102" s="312" t="s">
        <v>797</v>
      </c>
      <c r="B1102" s="313" t="s">
        <v>265</v>
      </c>
      <c r="C1102" s="312" t="s">
        <v>15</v>
      </c>
      <c r="D1102" s="314">
        <v>2000</v>
      </c>
      <c r="E1102" s="313" t="s">
        <v>939</v>
      </c>
      <c r="F1102" s="315" t="str">
        <f>IF(IF(A1102="","",COUNTIF(CONSOLIDADO!$A:$A,$A1102))=0,"REVISAR","OK")</f>
        <v>OK</v>
      </c>
    </row>
    <row r="1103" spans="1:6" x14ac:dyDescent="0.2">
      <c r="A1103" s="312" t="s">
        <v>797</v>
      </c>
      <c r="B1103" s="313" t="s">
        <v>265</v>
      </c>
      <c r="C1103" s="312" t="s">
        <v>15</v>
      </c>
      <c r="D1103" s="314">
        <v>2500</v>
      </c>
      <c r="E1103" s="313" t="s">
        <v>939</v>
      </c>
      <c r="F1103" s="315" t="str">
        <f>IF(IF(A1103="","",COUNTIF(CONSOLIDADO!$A:$A,$A1103))=0,"REVISAR","OK")</f>
        <v>OK</v>
      </c>
    </row>
    <row r="1104" spans="1:6" x14ac:dyDescent="0.2">
      <c r="A1104" s="312" t="s">
        <v>797</v>
      </c>
      <c r="B1104" s="313" t="s">
        <v>265</v>
      </c>
      <c r="C1104" s="312" t="s">
        <v>15</v>
      </c>
      <c r="D1104" s="314">
        <v>2856</v>
      </c>
      <c r="E1104" s="313" t="s">
        <v>938</v>
      </c>
      <c r="F1104" s="315" t="str">
        <f>IF(IF(A1104="","",COUNTIF(CONSOLIDADO!$A:$A,$A1104))=0,"REVISAR","OK")</f>
        <v>OK</v>
      </c>
    </row>
    <row r="1105" spans="1:6" x14ac:dyDescent="0.2">
      <c r="A1105" s="312" t="s">
        <v>797</v>
      </c>
      <c r="B1105" s="313" t="s">
        <v>265</v>
      </c>
      <c r="C1105" s="312" t="s">
        <v>15</v>
      </c>
      <c r="D1105" s="314">
        <v>3000</v>
      </c>
      <c r="E1105" s="313" t="s">
        <v>2276</v>
      </c>
      <c r="F1105" s="315" t="str">
        <f>IF(IF(A1105="","",COUNTIF(CONSOLIDADO!$A:$A,$A1105))=0,"REVISAR","OK")</f>
        <v>OK</v>
      </c>
    </row>
    <row r="1106" spans="1:6" x14ac:dyDescent="0.2">
      <c r="A1106" s="312" t="s">
        <v>797</v>
      </c>
      <c r="B1106" s="313" t="s">
        <v>265</v>
      </c>
      <c r="C1106" s="312" t="s">
        <v>15</v>
      </c>
      <c r="D1106" s="314">
        <v>3000</v>
      </c>
      <c r="E1106" s="313" t="s">
        <v>2005</v>
      </c>
      <c r="F1106" s="315" t="str">
        <f>IF(IF(A1106="","",COUNTIF(CONSOLIDADO!$A:$A,$A1106))=0,"REVISAR","OK")</f>
        <v>OK</v>
      </c>
    </row>
    <row r="1107" spans="1:6" x14ac:dyDescent="0.2">
      <c r="A1107" s="312" t="s">
        <v>797</v>
      </c>
      <c r="B1107" s="313" t="s">
        <v>265</v>
      </c>
      <c r="C1107" s="312" t="s">
        <v>15</v>
      </c>
      <c r="D1107" s="314">
        <v>3200</v>
      </c>
      <c r="E1107" s="313" t="s">
        <v>940</v>
      </c>
      <c r="F1107" s="315" t="str">
        <f>IF(IF(A1107="","",COUNTIF(CONSOLIDADO!$A:$A,$A1107))=0,"REVISAR","OK")</f>
        <v>OK</v>
      </c>
    </row>
    <row r="1108" spans="1:6" x14ac:dyDescent="0.2">
      <c r="A1108" s="312" t="s">
        <v>797</v>
      </c>
      <c r="B1108" s="313" t="s">
        <v>265</v>
      </c>
      <c r="C1108" s="312" t="s">
        <v>15</v>
      </c>
      <c r="D1108" s="314">
        <v>3200</v>
      </c>
      <c r="E1108" s="313" t="s">
        <v>974</v>
      </c>
      <c r="F1108" s="315" t="str">
        <f>IF(IF(A1108="","",COUNTIF(CONSOLIDADO!$A:$A,$A1108))=0,"REVISAR","OK")</f>
        <v>OK</v>
      </c>
    </row>
    <row r="1109" spans="1:6" x14ac:dyDescent="0.2">
      <c r="A1109" s="312" t="s">
        <v>797</v>
      </c>
      <c r="B1109" s="313" t="s">
        <v>265</v>
      </c>
      <c r="C1109" s="312" t="s">
        <v>15</v>
      </c>
      <c r="D1109" s="314">
        <v>3549</v>
      </c>
      <c r="E1109" s="313" t="s">
        <v>933</v>
      </c>
      <c r="F1109" s="315" t="str">
        <f>IF(IF(A1109="","",COUNTIF(CONSOLIDADO!$A:$A,$A1109))=0,"REVISAR","OK")</f>
        <v>OK</v>
      </c>
    </row>
    <row r="1110" spans="1:6" x14ac:dyDescent="0.2">
      <c r="A1110" s="312" t="s">
        <v>797</v>
      </c>
      <c r="B1110" s="313" t="s">
        <v>265</v>
      </c>
      <c r="C1110" s="312" t="s">
        <v>15</v>
      </c>
      <c r="D1110" s="314">
        <v>3551</v>
      </c>
      <c r="E1110" s="313" t="s">
        <v>932</v>
      </c>
      <c r="F1110" s="315" t="str">
        <f>IF(IF(A1110="","",COUNTIF(CONSOLIDADO!$A:$A,$A1110))=0,"REVISAR","OK")</f>
        <v>OK</v>
      </c>
    </row>
    <row r="1111" spans="1:6" x14ac:dyDescent="0.2">
      <c r="A1111" s="312" t="s">
        <v>797</v>
      </c>
      <c r="B1111" s="313" t="s">
        <v>265</v>
      </c>
      <c r="C1111" s="312" t="s">
        <v>15</v>
      </c>
      <c r="D1111" s="314">
        <v>3552</v>
      </c>
      <c r="E1111" s="313" t="s">
        <v>950</v>
      </c>
      <c r="F1111" s="315" t="str">
        <f>IF(IF(A1111="","",COUNTIF(CONSOLIDADO!$A:$A,$A1111))=0,"REVISAR","OK")</f>
        <v>OK</v>
      </c>
    </row>
    <row r="1112" spans="1:6" x14ac:dyDescent="0.2">
      <c r="A1112" s="312" t="s">
        <v>797</v>
      </c>
      <c r="B1112" s="313" t="s">
        <v>265</v>
      </c>
      <c r="C1112" s="312" t="s">
        <v>15</v>
      </c>
      <c r="D1112" s="314">
        <v>3570</v>
      </c>
      <c r="E1112" s="313" t="s">
        <v>982</v>
      </c>
      <c r="F1112" s="315" t="str">
        <f>IF(IF(A1112="","",COUNTIF(CONSOLIDADO!$A:$A,$A1112))=0,"REVISAR","OK")</f>
        <v>OK</v>
      </c>
    </row>
    <row r="1113" spans="1:6" x14ac:dyDescent="0.2">
      <c r="A1113" s="312" t="s">
        <v>797</v>
      </c>
      <c r="B1113" s="313" t="s">
        <v>265</v>
      </c>
      <c r="C1113" s="312" t="s">
        <v>15</v>
      </c>
      <c r="D1113" s="314">
        <v>3570</v>
      </c>
      <c r="E1113" s="313" t="s">
        <v>2258</v>
      </c>
      <c r="F1113" s="315" t="str">
        <f>IF(IF(A1113="","",COUNTIF(CONSOLIDADO!$A:$A,$A1113))=0,"REVISAR","OK")</f>
        <v>OK</v>
      </c>
    </row>
    <row r="1114" spans="1:6" x14ac:dyDescent="0.2">
      <c r="A1114" s="312" t="s">
        <v>797</v>
      </c>
      <c r="B1114" s="313" t="s">
        <v>265</v>
      </c>
      <c r="C1114" s="312" t="s">
        <v>15</v>
      </c>
      <c r="D1114" s="314">
        <v>3570</v>
      </c>
      <c r="E1114" s="313" t="s">
        <v>2146</v>
      </c>
      <c r="F1114" s="315" t="str">
        <f>IF(IF(A1114="","",COUNTIF(CONSOLIDADO!$A:$A,$A1114))=0,"REVISAR","OK")</f>
        <v>OK</v>
      </c>
    </row>
    <row r="1115" spans="1:6" x14ac:dyDescent="0.2">
      <c r="A1115" s="312" t="s">
        <v>797</v>
      </c>
      <c r="B1115" s="313" t="s">
        <v>265</v>
      </c>
      <c r="C1115" s="312" t="s">
        <v>15</v>
      </c>
      <c r="D1115" s="314">
        <v>3649</v>
      </c>
      <c r="E1115" s="313" t="s">
        <v>937</v>
      </c>
      <c r="F1115" s="315" t="str">
        <f>IF(IF(A1115="","",COUNTIF(CONSOLIDADO!$A:$A,$A1115))=0,"REVISAR","OK")</f>
        <v>OK</v>
      </c>
    </row>
    <row r="1116" spans="1:6" x14ac:dyDescent="0.2">
      <c r="A1116" s="312" t="s">
        <v>797</v>
      </c>
      <c r="B1116" s="313" t="s">
        <v>265</v>
      </c>
      <c r="C1116" s="312" t="s">
        <v>15</v>
      </c>
      <c r="D1116" s="314">
        <v>3689</v>
      </c>
      <c r="E1116" s="313" t="s">
        <v>2238</v>
      </c>
      <c r="F1116" s="315" t="str">
        <f>IF(IF(A1116="","",COUNTIF(CONSOLIDADO!$A:$A,$A1116))=0,"REVISAR","OK")</f>
        <v>OK</v>
      </c>
    </row>
    <row r="1117" spans="1:6" x14ac:dyDescent="0.2">
      <c r="A1117" s="312" t="s">
        <v>797</v>
      </c>
      <c r="B1117" s="313" t="s">
        <v>265</v>
      </c>
      <c r="C1117" s="312" t="s">
        <v>15</v>
      </c>
      <c r="D1117" s="314">
        <v>3890</v>
      </c>
      <c r="E1117" s="313" t="s">
        <v>934</v>
      </c>
      <c r="F1117" s="315" t="str">
        <f>IF(IF(A1117="","",COUNTIF(CONSOLIDADO!$A:$A,$A1117))=0,"REVISAR","OK")</f>
        <v>OK</v>
      </c>
    </row>
    <row r="1118" spans="1:6" x14ac:dyDescent="0.2">
      <c r="A1118" s="312" t="s">
        <v>797</v>
      </c>
      <c r="B1118" s="313" t="s">
        <v>265</v>
      </c>
      <c r="C1118" s="312" t="s">
        <v>15</v>
      </c>
      <c r="D1118" s="314">
        <v>4450</v>
      </c>
      <c r="E1118" s="313" t="s">
        <v>2073</v>
      </c>
      <c r="F1118" s="315" t="str">
        <f>IF(IF(A1118="","",COUNTIF(CONSOLIDADO!$A:$A,$A1118))=0,"REVISAR","OK")</f>
        <v>OK</v>
      </c>
    </row>
    <row r="1119" spans="1:6" x14ac:dyDescent="0.2">
      <c r="A1119" s="312" t="s">
        <v>797</v>
      </c>
      <c r="B1119" s="313" t="s">
        <v>265</v>
      </c>
      <c r="C1119" s="312" t="s">
        <v>15</v>
      </c>
      <c r="D1119" s="314">
        <v>4500</v>
      </c>
      <c r="E1119" s="313" t="s">
        <v>931</v>
      </c>
      <c r="F1119" s="315" t="str">
        <f>IF(IF(A1119="","",COUNTIF(CONSOLIDADO!$A:$A,$A1119))=0,"REVISAR","OK")</f>
        <v>OK</v>
      </c>
    </row>
    <row r="1120" spans="1:6" x14ac:dyDescent="0.2">
      <c r="A1120" s="312" t="s">
        <v>797</v>
      </c>
      <c r="B1120" s="313" t="s">
        <v>265</v>
      </c>
      <c r="C1120" s="312" t="s">
        <v>15</v>
      </c>
      <c r="D1120" s="314">
        <v>4641</v>
      </c>
      <c r="E1120" s="313" t="s">
        <v>2275</v>
      </c>
      <c r="F1120" s="315" t="str">
        <f>IF(IF(A1120="","",COUNTIF(CONSOLIDADO!$A:$A,$A1120))=0,"REVISAR","OK")</f>
        <v>OK</v>
      </c>
    </row>
    <row r="1121" spans="1:6" x14ac:dyDescent="0.2">
      <c r="A1121" s="312" t="s">
        <v>868</v>
      </c>
      <c r="B1121" s="313" t="s">
        <v>1400</v>
      </c>
      <c r="C1121" s="312" t="s">
        <v>15</v>
      </c>
      <c r="D1121" s="314">
        <v>4641</v>
      </c>
      <c r="E1121" s="313" t="s">
        <v>932</v>
      </c>
      <c r="F1121" s="315" t="str">
        <f>IF(IF(A1121="","",COUNTIF(CONSOLIDADO!$A:$A,$A1121))=0,"REVISAR","OK")</f>
        <v>OK</v>
      </c>
    </row>
    <row r="1122" spans="1:6" x14ac:dyDescent="0.2">
      <c r="A1122" s="312" t="s">
        <v>837</v>
      </c>
      <c r="B1122" s="313" t="s">
        <v>493</v>
      </c>
      <c r="C1122" s="312" t="s">
        <v>15</v>
      </c>
      <c r="D1122" s="314">
        <v>3781</v>
      </c>
      <c r="E1122" s="313" t="s">
        <v>930</v>
      </c>
      <c r="F1122" s="315" t="str">
        <f>IF(IF(A1122="","",COUNTIF(CONSOLIDADO!$A:$A,$A1122))=0,"REVISAR","OK")</f>
        <v>OK</v>
      </c>
    </row>
    <row r="1123" spans="1:6" x14ac:dyDescent="0.2">
      <c r="A1123" s="312" t="s">
        <v>837</v>
      </c>
      <c r="B1123" s="313" t="s">
        <v>493</v>
      </c>
      <c r="C1123" s="312" t="s">
        <v>15</v>
      </c>
      <c r="D1123" s="314">
        <v>3989</v>
      </c>
      <c r="E1123" s="313" t="s">
        <v>2238</v>
      </c>
      <c r="F1123" s="315" t="str">
        <f>IF(IF(A1123="","",COUNTIF(CONSOLIDADO!$A:$A,$A1123))=0,"REVISAR","OK")</f>
        <v>OK</v>
      </c>
    </row>
    <row r="1124" spans="1:6" x14ac:dyDescent="0.2">
      <c r="A1124" s="312" t="s">
        <v>656</v>
      </c>
      <c r="B1124" s="313" t="s">
        <v>502</v>
      </c>
      <c r="C1124" s="312" t="s">
        <v>15</v>
      </c>
      <c r="D1124" s="314">
        <v>852</v>
      </c>
      <c r="E1124" s="313" t="s">
        <v>951</v>
      </c>
      <c r="F1124" s="315" t="str">
        <f>IF(IF(A1124="","",COUNTIF(CONSOLIDADO!$A:$A,$A1124))=0,"REVISAR","OK")</f>
        <v>OK</v>
      </c>
    </row>
    <row r="1125" spans="1:6" x14ac:dyDescent="0.2">
      <c r="A1125" s="312" t="s">
        <v>656</v>
      </c>
      <c r="B1125" s="313" t="s">
        <v>502</v>
      </c>
      <c r="C1125" s="312" t="s">
        <v>15</v>
      </c>
      <c r="D1125" s="314">
        <v>1089</v>
      </c>
      <c r="E1125" s="313" t="s">
        <v>933</v>
      </c>
      <c r="F1125" s="315" t="str">
        <f>IF(IF(A1125="","",COUNTIF(CONSOLIDADO!$A:$A,$A1125))=0,"REVISAR","OK")</f>
        <v>OK</v>
      </c>
    </row>
    <row r="1126" spans="1:6" x14ac:dyDescent="0.2">
      <c r="A1126" s="312" t="s">
        <v>681</v>
      </c>
      <c r="B1126" s="313" t="s">
        <v>1056</v>
      </c>
      <c r="C1126" s="312" t="s">
        <v>15</v>
      </c>
      <c r="D1126" s="314">
        <v>1000</v>
      </c>
      <c r="E1126" s="313" t="s">
        <v>938</v>
      </c>
      <c r="F1126" s="315" t="str">
        <f>IF(IF(A1126="","",COUNTIF(CONSOLIDADO!$A:$A,$A1126))=0,"REVISAR","OK")</f>
        <v>OK</v>
      </c>
    </row>
    <row r="1127" spans="1:6" x14ac:dyDescent="0.2">
      <c r="A1127" s="312" t="s">
        <v>681</v>
      </c>
      <c r="B1127" s="313" t="s">
        <v>1056</v>
      </c>
      <c r="C1127" s="312" t="s">
        <v>15</v>
      </c>
      <c r="D1127" s="314">
        <v>1071</v>
      </c>
      <c r="E1127" s="313" t="s">
        <v>982</v>
      </c>
      <c r="F1127" s="315" t="str">
        <f>IF(IF(A1127="","",COUNTIF(CONSOLIDADO!$A:$A,$A1127))=0,"REVISAR","OK")</f>
        <v>OK</v>
      </c>
    </row>
    <row r="1128" spans="1:6" x14ac:dyDescent="0.2">
      <c r="A1128" s="312" t="s">
        <v>681</v>
      </c>
      <c r="B1128" s="313" t="s">
        <v>1056</v>
      </c>
      <c r="C1128" s="312" t="s">
        <v>15</v>
      </c>
      <c r="D1128" s="314">
        <v>1101</v>
      </c>
      <c r="E1128" s="313" t="s">
        <v>2070</v>
      </c>
      <c r="F1128" s="315" t="str">
        <f>IF(IF(A1128="","",COUNTIF(CONSOLIDADO!$A:$A,$A1128))=0,"REVISAR","OK")</f>
        <v>OK</v>
      </c>
    </row>
    <row r="1129" spans="1:6" x14ac:dyDescent="0.2">
      <c r="A1129" s="312" t="s">
        <v>681</v>
      </c>
      <c r="B1129" s="313" t="s">
        <v>1056</v>
      </c>
      <c r="C1129" s="312" t="s">
        <v>15</v>
      </c>
      <c r="D1129" s="314">
        <v>1190</v>
      </c>
      <c r="E1129" s="313" t="s">
        <v>2276</v>
      </c>
      <c r="F1129" s="315" t="str">
        <f>IF(IF(A1129="","",COUNTIF(CONSOLIDADO!$A:$A,$A1129))=0,"REVISAR","OK")</f>
        <v>OK</v>
      </c>
    </row>
    <row r="1130" spans="1:6" x14ac:dyDescent="0.2">
      <c r="A1130" s="312" t="s">
        <v>681</v>
      </c>
      <c r="B1130" s="313" t="s">
        <v>1056</v>
      </c>
      <c r="C1130" s="312" t="s">
        <v>15</v>
      </c>
      <c r="D1130" s="314">
        <v>1199</v>
      </c>
      <c r="E1130" s="313" t="s">
        <v>937</v>
      </c>
      <c r="F1130" s="315" t="str">
        <f>IF(IF(A1130="","",COUNTIF(CONSOLIDADO!$A:$A,$A1130))=0,"REVISAR","OK")</f>
        <v>OK</v>
      </c>
    </row>
    <row r="1131" spans="1:6" x14ac:dyDescent="0.2">
      <c r="A1131" s="312" t="s">
        <v>681</v>
      </c>
      <c r="B1131" s="313" t="s">
        <v>1056</v>
      </c>
      <c r="C1131" s="312" t="s">
        <v>15</v>
      </c>
      <c r="D1131" s="314">
        <v>1299</v>
      </c>
      <c r="E1131" s="313" t="s">
        <v>944</v>
      </c>
      <c r="F1131" s="315" t="str">
        <f>IF(IF(A1131="","",COUNTIF(CONSOLIDADO!$A:$A,$A1131))=0,"REVISAR","OK")</f>
        <v>OK</v>
      </c>
    </row>
    <row r="1132" spans="1:6" x14ac:dyDescent="0.2">
      <c r="A1132" s="312" t="s">
        <v>681</v>
      </c>
      <c r="B1132" s="313" t="s">
        <v>1056</v>
      </c>
      <c r="C1132" s="312" t="s">
        <v>15</v>
      </c>
      <c r="D1132" s="314">
        <v>1608</v>
      </c>
      <c r="E1132" s="313" t="s">
        <v>930</v>
      </c>
      <c r="F1132" s="315" t="str">
        <f>IF(IF(A1132="","",COUNTIF(CONSOLIDADO!$A:$A,$A1132))=0,"REVISAR","OK")</f>
        <v>OK</v>
      </c>
    </row>
    <row r="1133" spans="1:6" x14ac:dyDescent="0.2">
      <c r="A1133" s="312" t="s">
        <v>681</v>
      </c>
      <c r="B1133" s="313" t="s">
        <v>1056</v>
      </c>
      <c r="C1133" s="312" t="s">
        <v>15</v>
      </c>
      <c r="D1133" s="314">
        <v>1689</v>
      </c>
      <c r="E1133" s="313" t="s">
        <v>945</v>
      </c>
      <c r="F1133" s="315" t="str">
        <f>IF(IF(A1133="","",COUNTIF(CONSOLIDADO!$A:$A,$A1133))=0,"REVISAR","OK")</f>
        <v>OK</v>
      </c>
    </row>
    <row r="1134" spans="1:6" x14ac:dyDescent="0.2">
      <c r="A1134" s="312" t="s">
        <v>681</v>
      </c>
      <c r="B1134" s="313" t="s">
        <v>1056</v>
      </c>
      <c r="C1134" s="312" t="s">
        <v>15</v>
      </c>
      <c r="D1134" s="314">
        <v>1690</v>
      </c>
      <c r="E1134" s="313" t="s">
        <v>935</v>
      </c>
      <c r="F1134" s="315" t="str">
        <f>IF(IF(A1134="","",COUNTIF(CONSOLIDADO!$A:$A,$A1134))=0,"REVISAR","OK")</f>
        <v>OK</v>
      </c>
    </row>
    <row r="1135" spans="1:6" x14ac:dyDescent="0.2">
      <c r="A1135" s="312" t="s">
        <v>1057</v>
      </c>
      <c r="B1135" s="313" t="s">
        <v>1058</v>
      </c>
      <c r="C1135" s="312" t="s">
        <v>15</v>
      </c>
      <c r="D1135" s="314">
        <v>1000</v>
      </c>
      <c r="E1135" s="313" t="s">
        <v>938</v>
      </c>
      <c r="F1135" s="315" t="str">
        <f>IF(IF(A1135="","",COUNTIF(CONSOLIDADO!$A:$A,$A1135))=0,"REVISAR","OK")</f>
        <v>OK</v>
      </c>
    </row>
    <row r="1136" spans="1:6" x14ac:dyDescent="0.2">
      <c r="A1136" s="312" t="s">
        <v>1057</v>
      </c>
      <c r="B1136" s="313" t="s">
        <v>1058</v>
      </c>
      <c r="C1136" s="312" t="s">
        <v>15</v>
      </c>
      <c r="D1136" s="314">
        <v>1900</v>
      </c>
      <c r="E1136" s="313" t="s">
        <v>933</v>
      </c>
      <c r="F1136" s="315" t="str">
        <f>IF(IF(A1136="","",COUNTIF(CONSOLIDADO!$A:$A,$A1136))=0,"REVISAR","OK")</f>
        <v>OK</v>
      </c>
    </row>
    <row r="1137" spans="1:6" x14ac:dyDescent="0.2">
      <c r="A1137" s="312" t="s">
        <v>1057</v>
      </c>
      <c r="B1137" s="313" t="s">
        <v>1058</v>
      </c>
      <c r="C1137" s="312" t="s">
        <v>15</v>
      </c>
      <c r="D1137" s="314">
        <v>3094</v>
      </c>
      <c r="E1137" s="313" t="s">
        <v>929</v>
      </c>
      <c r="F1137" s="315" t="str">
        <f>IF(IF(A1137="","",COUNTIF(CONSOLIDADO!$A:$A,$A1137))=0,"REVISAR","OK")</f>
        <v>OK</v>
      </c>
    </row>
    <row r="1138" spans="1:6" x14ac:dyDescent="0.2">
      <c r="A1138" s="312" t="s">
        <v>1403</v>
      </c>
      <c r="B1138" s="313" t="s">
        <v>1404</v>
      </c>
      <c r="C1138" s="312" t="s">
        <v>15</v>
      </c>
      <c r="D1138" s="314">
        <v>1690</v>
      </c>
      <c r="E1138" s="313" t="s">
        <v>2276</v>
      </c>
      <c r="F1138" s="315" t="str">
        <f>IF(IF(A1138="","",COUNTIF(CONSOLIDADO!$A:$A,$A1138))=0,"REVISAR","OK")</f>
        <v>OK</v>
      </c>
    </row>
    <row r="1139" spans="1:6" x14ac:dyDescent="0.2">
      <c r="A1139" s="312" t="s">
        <v>1405</v>
      </c>
      <c r="B1139" s="313" t="s">
        <v>1406</v>
      </c>
      <c r="C1139" s="312" t="s">
        <v>15</v>
      </c>
      <c r="D1139" s="314">
        <v>4046</v>
      </c>
      <c r="E1139" s="313" t="s">
        <v>982</v>
      </c>
      <c r="F1139" s="315" t="str">
        <f>IF(IF(A1139="","",COUNTIF(CONSOLIDADO!$A:$A,$A1139))=0,"REVISAR","OK")</f>
        <v>OK</v>
      </c>
    </row>
    <row r="1140" spans="1:6" x14ac:dyDescent="0.2">
      <c r="A1140" s="312" t="s">
        <v>1059</v>
      </c>
      <c r="B1140" s="313" t="s">
        <v>1060</v>
      </c>
      <c r="C1140" s="312" t="s">
        <v>15</v>
      </c>
      <c r="D1140" s="314">
        <v>1134</v>
      </c>
      <c r="E1140" s="313" t="s">
        <v>930</v>
      </c>
      <c r="F1140" s="315" t="str">
        <f>IF(IF(A1140="","",COUNTIF(CONSOLIDADO!$A:$A,$A1140))=0,"REVISAR","OK")</f>
        <v>OK</v>
      </c>
    </row>
    <row r="1141" spans="1:6" x14ac:dyDescent="0.2">
      <c r="A1141" s="312" t="s">
        <v>1059</v>
      </c>
      <c r="B1141" s="313" t="s">
        <v>1060</v>
      </c>
      <c r="C1141" s="312" t="s">
        <v>15</v>
      </c>
      <c r="D1141" s="314">
        <v>1290</v>
      </c>
      <c r="E1141" s="313" t="s">
        <v>2276</v>
      </c>
      <c r="F1141" s="315" t="str">
        <f>IF(IF(A1141="","",COUNTIF(CONSOLIDADO!$A:$A,$A1141))=0,"REVISAR","OK")</f>
        <v>OK</v>
      </c>
    </row>
    <row r="1142" spans="1:6" x14ac:dyDescent="0.2">
      <c r="A1142" s="312" t="s">
        <v>1059</v>
      </c>
      <c r="B1142" s="313" t="s">
        <v>1060</v>
      </c>
      <c r="C1142" s="312" t="s">
        <v>15</v>
      </c>
      <c r="D1142" s="314">
        <v>1447</v>
      </c>
      <c r="E1142" s="313" t="s">
        <v>933</v>
      </c>
      <c r="F1142" s="315" t="str">
        <f>IF(IF(A1142="","",COUNTIF(CONSOLIDADO!$A:$A,$A1142))=0,"REVISAR","OK")</f>
        <v>OK</v>
      </c>
    </row>
    <row r="1143" spans="1:6" x14ac:dyDescent="0.2">
      <c r="A1143" s="312" t="s">
        <v>841</v>
      </c>
      <c r="B1143" s="313" t="s">
        <v>1061</v>
      </c>
      <c r="C1143" s="312" t="s">
        <v>15</v>
      </c>
      <c r="D1143" s="314">
        <v>479</v>
      </c>
      <c r="E1143" s="313" t="s">
        <v>945</v>
      </c>
      <c r="F1143" s="315" t="str">
        <f>IF(IF(A1143="","",COUNTIF(CONSOLIDADO!$A:$A,$A1143))=0,"REVISAR","OK")</f>
        <v>OK</v>
      </c>
    </row>
    <row r="1144" spans="1:6" x14ac:dyDescent="0.2">
      <c r="A1144" s="312" t="s">
        <v>841</v>
      </c>
      <c r="B1144" s="313" t="s">
        <v>1061</v>
      </c>
      <c r="C1144" s="312" t="s">
        <v>15</v>
      </c>
      <c r="D1144" s="314">
        <v>479</v>
      </c>
      <c r="E1144" s="313" t="s">
        <v>945</v>
      </c>
      <c r="F1144" s="315" t="str">
        <f>IF(IF(A1144="","",COUNTIF(CONSOLIDADO!$A:$A,$A1144))=0,"REVISAR","OK")</f>
        <v>OK</v>
      </c>
    </row>
    <row r="1145" spans="1:6" x14ac:dyDescent="0.2">
      <c r="A1145" s="312" t="s">
        <v>841</v>
      </c>
      <c r="B1145" s="313" t="s">
        <v>1061</v>
      </c>
      <c r="C1145" s="312" t="s">
        <v>15</v>
      </c>
      <c r="D1145" s="314">
        <v>500</v>
      </c>
      <c r="E1145" s="313" t="s">
        <v>2329</v>
      </c>
      <c r="F1145" s="315" t="str">
        <f>IF(IF(A1145="","",COUNTIF(CONSOLIDADO!$A:$A,$A1145))=0,"REVISAR","OK")</f>
        <v>OK</v>
      </c>
    </row>
    <row r="1146" spans="1:6" x14ac:dyDescent="0.2">
      <c r="A1146" s="312" t="s">
        <v>841</v>
      </c>
      <c r="B1146" s="313" t="s">
        <v>1061</v>
      </c>
      <c r="C1146" s="312" t="s">
        <v>15</v>
      </c>
      <c r="D1146" s="314">
        <v>1094</v>
      </c>
      <c r="E1146" s="313" t="s">
        <v>944</v>
      </c>
      <c r="F1146" s="315" t="str">
        <f>IF(IF(A1146="","",COUNTIF(CONSOLIDADO!$A:$A,$A1146))=0,"REVISAR","OK")</f>
        <v>OK</v>
      </c>
    </row>
    <row r="1147" spans="1:6" x14ac:dyDescent="0.2">
      <c r="A1147" s="312" t="s">
        <v>841</v>
      </c>
      <c r="B1147" s="313" t="s">
        <v>1061</v>
      </c>
      <c r="C1147" s="312" t="s">
        <v>15</v>
      </c>
      <c r="D1147" s="314">
        <v>5118</v>
      </c>
      <c r="E1147" s="313" t="s">
        <v>2176</v>
      </c>
      <c r="F1147" s="315" t="str">
        <f>IF(IF(A1147="","",COUNTIF(CONSOLIDADO!$A:$A,$A1147))=0,"REVISAR","OK")</f>
        <v>OK</v>
      </c>
    </row>
    <row r="1148" spans="1:6" x14ac:dyDescent="0.2">
      <c r="A1148" s="312" t="s">
        <v>1062</v>
      </c>
      <c r="B1148" s="313" t="s">
        <v>1063</v>
      </c>
      <c r="C1148" s="312" t="s">
        <v>15</v>
      </c>
      <c r="D1148" s="314">
        <v>1793</v>
      </c>
      <c r="E1148" s="313" t="s">
        <v>944</v>
      </c>
      <c r="F1148" s="315" t="str">
        <f>IF(IF(A1148="","",COUNTIF(CONSOLIDADO!$A:$A,$A1148))=0,"REVISAR","OK")</f>
        <v>OK</v>
      </c>
    </row>
    <row r="1149" spans="1:6" x14ac:dyDescent="0.2">
      <c r="A1149" s="312" t="s">
        <v>1062</v>
      </c>
      <c r="B1149" s="313" t="s">
        <v>1063</v>
      </c>
      <c r="C1149" s="312" t="s">
        <v>15</v>
      </c>
      <c r="D1149" s="314">
        <v>2915</v>
      </c>
      <c r="E1149" s="313" t="s">
        <v>930</v>
      </c>
      <c r="F1149" s="315" t="str">
        <f>IF(IF(A1149="","",COUNTIF(CONSOLIDADO!$A:$A,$A1149))=0,"REVISAR","OK")</f>
        <v>OK</v>
      </c>
    </row>
    <row r="1150" spans="1:6" x14ac:dyDescent="0.2">
      <c r="A1150" s="312" t="s">
        <v>1062</v>
      </c>
      <c r="B1150" s="313" t="s">
        <v>1063</v>
      </c>
      <c r="C1150" s="312" t="s">
        <v>15</v>
      </c>
      <c r="D1150" s="314">
        <v>3240</v>
      </c>
      <c r="E1150" s="313" t="s">
        <v>930</v>
      </c>
      <c r="F1150" s="315" t="str">
        <f>IF(IF(A1150="","",COUNTIF(CONSOLIDADO!$A:$A,$A1150))=0,"REVISAR","OK")</f>
        <v>OK</v>
      </c>
    </row>
    <row r="1151" spans="1:6" x14ac:dyDescent="0.2">
      <c r="A1151" s="312" t="s">
        <v>1062</v>
      </c>
      <c r="B1151" s="313" t="s">
        <v>1063</v>
      </c>
      <c r="C1151" s="312" t="s">
        <v>15</v>
      </c>
      <c r="D1151" s="314">
        <v>5000</v>
      </c>
      <c r="E1151" s="313" t="s">
        <v>2232</v>
      </c>
      <c r="F1151" s="315" t="str">
        <f>IF(IF(A1151="","",COUNTIF(CONSOLIDADO!$A:$A,$A1151))=0,"REVISAR","OK")</f>
        <v>OK</v>
      </c>
    </row>
    <row r="1152" spans="1:6" x14ac:dyDescent="0.2">
      <c r="A1152" s="312" t="s">
        <v>1062</v>
      </c>
      <c r="B1152" s="313" t="s">
        <v>1063</v>
      </c>
      <c r="C1152" s="312" t="s">
        <v>15</v>
      </c>
      <c r="D1152" s="314">
        <v>5900</v>
      </c>
      <c r="E1152" s="313" t="s">
        <v>2232</v>
      </c>
      <c r="F1152" s="315" t="str">
        <f>IF(IF(A1152="","",COUNTIF(CONSOLIDADO!$A:$A,$A1152))=0,"REVISAR","OK")</f>
        <v>OK</v>
      </c>
    </row>
    <row r="1153" spans="1:6" x14ac:dyDescent="0.2">
      <c r="A1153" s="312" t="s">
        <v>1062</v>
      </c>
      <c r="B1153" s="313" t="s">
        <v>1063</v>
      </c>
      <c r="C1153" s="312" t="s">
        <v>15</v>
      </c>
      <c r="D1153" s="314">
        <v>6900</v>
      </c>
      <c r="E1153" s="313" t="s">
        <v>2232</v>
      </c>
      <c r="F1153" s="315" t="str">
        <f>IF(IF(A1153="","",COUNTIF(CONSOLIDADO!$A:$A,$A1153))=0,"REVISAR","OK")</f>
        <v>OK</v>
      </c>
    </row>
    <row r="1154" spans="1:6" x14ac:dyDescent="0.2">
      <c r="A1154" s="312" t="s">
        <v>1064</v>
      </c>
      <c r="B1154" s="313" t="s">
        <v>1065</v>
      </c>
      <c r="C1154" s="312" t="s">
        <v>15</v>
      </c>
      <c r="D1154" s="314">
        <v>1666</v>
      </c>
      <c r="E1154" s="313" t="s">
        <v>2233</v>
      </c>
      <c r="F1154" s="315" t="str">
        <f>IF(IF(A1154="","",COUNTIF(CONSOLIDADO!$A:$A,$A1154))=0,"REVISAR","OK")</f>
        <v>OK</v>
      </c>
    </row>
    <row r="1155" spans="1:6" x14ac:dyDescent="0.2">
      <c r="A1155" s="312" t="s">
        <v>1064</v>
      </c>
      <c r="B1155" s="313" t="s">
        <v>1065</v>
      </c>
      <c r="C1155" s="312" t="s">
        <v>15</v>
      </c>
      <c r="D1155" s="314">
        <v>1984</v>
      </c>
      <c r="E1155" s="313" t="s">
        <v>932</v>
      </c>
      <c r="F1155" s="315" t="str">
        <f>IF(IF(A1155="","",COUNTIF(CONSOLIDADO!$A:$A,$A1155))=0,"REVISAR","OK")</f>
        <v>OK</v>
      </c>
    </row>
    <row r="1156" spans="1:6" x14ac:dyDescent="0.2">
      <c r="A1156" s="312" t="s">
        <v>887</v>
      </c>
      <c r="B1156" s="313" t="s">
        <v>1066</v>
      </c>
      <c r="C1156" s="312" t="s">
        <v>15</v>
      </c>
      <c r="D1156" s="314">
        <v>500</v>
      </c>
      <c r="E1156" s="313" t="s">
        <v>938</v>
      </c>
      <c r="F1156" s="315" t="str">
        <f>IF(IF(A1156="","",COUNTIF(CONSOLIDADO!$A:$A,$A1156))=0,"REVISAR","OK")</f>
        <v>OK</v>
      </c>
    </row>
    <row r="1157" spans="1:6" x14ac:dyDescent="0.2">
      <c r="A1157" s="312" t="s">
        <v>887</v>
      </c>
      <c r="B1157" s="313" t="s">
        <v>1066</v>
      </c>
      <c r="C1157" s="312" t="s">
        <v>15</v>
      </c>
      <c r="D1157" s="314">
        <v>600</v>
      </c>
      <c r="E1157" s="313" t="s">
        <v>938</v>
      </c>
      <c r="F1157" s="315" t="str">
        <f>IF(IF(A1157="","",COUNTIF(CONSOLIDADO!$A:$A,$A1157))=0,"REVISAR","OK")</f>
        <v>OK</v>
      </c>
    </row>
    <row r="1158" spans="1:6" x14ac:dyDescent="0.2">
      <c r="A1158" s="312" t="s">
        <v>887</v>
      </c>
      <c r="B1158" s="313" t="s">
        <v>1066</v>
      </c>
      <c r="C1158" s="312" t="s">
        <v>15</v>
      </c>
      <c r="D1158" s="314">
        <v>750</v>
      </c>
      <c r="E1158" s="313" t="s">
        <v>938</v>
      </c>
      <c r="F1158" s="315" t="str">
        <f>IF(IF(A1158="","",COUNTIF(CONSOLIDADO!$A:$A,$A1158))=0,"REVISAR","OK")</f>
        <v>OK</v>
      </c>
    </row>
    <row r="1159" spans="1:6" x14ac:dyDescent="0.2">
      <c r="A1159" s="312" t="s">
        <v>887</v>
      </c>
      <c r="B1159" s="313" t="s">
        <v>1066</v>
      </c>
      <c r="C1159" s="312" t="s">
        <v>15</v>
      </c>
      <c r="D1159" s="314">
        <v>1190</v>
      </c>
      <c r="E1159" s="313" t="s">
        <v>2276</v>
      </c>
      <c r="F1159" s="315" t="str">
        <f>IF(IF(A1159="","",COUNTIF(CONSOLIDADO!$A:$A,$A1159))=0,"REVISAR","OK")</f>
        <v>OK</v>
      </c>
    </row>
    <row r="1160" spans="1:6" x14ac:dyDescent="0.2">
      <c r="A1160" s="312" t="s">
        <v>887</v>
      </c>
      <c r="B1160" s="313" t="s">
        <v>1066</v>
      </c>
      <c r="C1160" s="312" t="s">
        <v>15</v>
      </c>
      <c r="D1160" s="314">
        <v>1681</v>
      </c>
      <c r="E1160" s="313" t="s">
        <v>929</v>
      </c>
      <c r="F1160" s="315" t="str">
        <f>IF(IF(A1160="","",COUNTIF(CONSOLIDADO!$A:$A,$A1160))=0,"REVISAR","OK")</f>
        <v>OK</v>
      </c>
    </row>
    <row r="1161" spans="1:6" x14ac:dyDescent="0.2">
      <c r="A1161" s="312" t="s">
        <v>887</v>
      </c>
      <c r="B1161" s="313" t="s">
        <v>1066</v>
      </c>
      <c r="C1161" s="312" t="s">
        <v>15</v>
      </c>
      <c r="D1161" s="314">
        <v>1689</v>
      </c>
      <c r="E1161" s="313" t="s">
        <v>935</v>
      </c>
      <c r="F1161" s="315" t="str">
        <f>IF(IF(A1161="","",COUNTIF(CONSOLIDADO!$A:$A,$A1161))=0,"REVISAR","OK")</f>
        <v>OK</v>
      </c>
    </row>
    <row r="1162" spans="1:6" x14ac:dyDescent="0.2">
      <c r="A1162" s="312" t="s">
        <v>887</v>
      </c>
      <c r="B1162" s="313" t="s">
        <v>1066</v>
      </c>
      <c r="C1162" s="312" t="s">
        <v>15</v>
      </c>
      <c r="D1162" s="314">
        <v>1689</v>
      </c>
      <c r="E1162" s="313" t="s">
        <v>935</v>
      </c>
      <c r="F1162" s="315" t="str">
        <f>IF(IF(A1162="","",COUNTIF(CONSOLIDADO!$A:$A,$A1162))=0,"REVISAR","OK")</f>
        <v>OK</v>
      </c>
    </row>
    <row r="1163" spans="1:6" x14ac:dyDescent="0.2">
      <c r="A1163" s="312" t="s">
        <v>1411</v>
      </c>
      <c r="B1163" s="313" t="s">
        <v>194</v>
      </c>
      <c r="C1163" s="312" t="s">
        <v>15</v>
      </c>
      <c r="D1163" s="314">
        <v>1846</v>
      </c>
      <c r="E1163" s="313" t="s">
        <v>935</v>
      </c>
      <c r="F1163" s="315" t="str">
        <f>IF(IF(A1163="","",COUNTIF(CONSOLIDADO!$A:$A,$A1163))=0,"REVISAR","OK")</f>
        <v>OK</v>
      </c>
    </row>
    <row r="1164" spans="1:6" x14ac:dyDescent="0.2">
      <c r="A1164" s="312" t="s">
        <v>1411</v>
      </c>
      <c r="B1164" s="313" t="s">
        <v>194</v>
      </c>
      <c r="C1164" s="312" t="s">
        <v>15</v>
      </c>
      <c r="D1164" s="314">
        <v>1869</v>
      </c>
      <c r="E1164" s="313" t="s">
        <v>951</v>
      </c>
      <c r="F1164" s="315" t="str">
        <f>IF(IF(A1164="","",COUNTIF(CONSOLIDADO!$A:$A,$A1164))=0,"REVISAR","OK")</f>
        <v>OK</v>
      </c>
    </row>
    <row r="1165" spans="1:6" x14ac:dyDescent="0.2">
      <c r="A1165" s="312" t="s">
        <v>1411</v>
      </c>
      <c r="B1165" s="313" t="s">
        <v>194</v>
      </c>
      <c r="C1165" s="312" t="s">
        <v>15</v>
      </c>
      <c r="D1165" s="314">
        <v>2364</v>
      </c>
      <c r="E1165" s="313" t="s">
        <v>930</v>
      </c>
      <c r="F1165" s="315" t="str">
        <f>IF(IF(A1165="","",COUNTIF(CONSOLIDADO!$A:$A,$A1165))=0,"REVISAR","OK")</f>
        <v>OK</v>
      </c>
    </row>
    <row r="1166" spans="1:6" x14ac:dyDescent="0.2">
      <c r="A1166" s="312" t="s">
        <v>666</v>
      </c>
      <c r="B1166" s="313" t="s">
        <v>1068</v>
      </c>
      <c r="C1166" s="312" t="s">
        <v>15</v>
      </c>
      <c r="D1166" s="314">
        <v>1840</v>
      </c>
      <c r="E1166" s="313" t="s">
        <v>1115</v>
      </c>
      <c r="F1166" s="315" t="str">
        <f>IF(IF(A1166="","",COUNTIF(CONSOLIDADO!$A:$A,$A1166))=0,"REVISAR","OK")</f>
        <v>OK</v>
      </c>
    </row>
    <row r="1167" spans="1:6" x14ac:dyDescent="0.2">
      <c r="A1167" s="312" t="s">
        <v>666</v>
      </c>
      <c r="B1167" s="313" t="s">
        <v>1068</v>
      </c>
      <c r="C1167" s="312" t="s">
        <v>15</v>
      </c>
      <c r="D1167" s="314">
        <v>1994</v>
      </c>
      <c r="E1167" s="313" t="s">
        <v>2233</v>
      </c>
      <c r="F1167" s="315" t="str">
        <f>IF(IF(A1167="","",COUNTIF(CONSOLIDADO!$A:$A,$A1167))=0,"REVISAR","OK")</f>
        <v>OK</v>
      </c>
    </row>
    <row r="1168" spans="1:6" x14ac:dyDescent="0.2">
      <c r="A1168" s="312" t="s">
        <v>666</v>
      </c>
      <c r="B1168" s="313" t="s">
        <v>1068</v>
      </c>
      <c r="C1168" s="312" t="s">
        <v>15</v>
      </c>
      <c r="D1168" s="314">
        <v>2142</v>
      </c>
      <c r="E1168" s="313" t="s">
        <v>946</v>
      </c>
      <c r="F1168" s="315" t="str">
        <f>IF(IF(A1168="","",COUNTIF(CONSOLIDADO!$A:$A,$A1168))=0,"REVISAR","OK")</f>
        <v>OK</v>
      </c>
    </row>
    <row r="1169" spans="1:6" x14ac:dyDescent="0.2">
      <c r="A1169" s="312" t="s">
        <v>666</v>
      </c>
      <c r="B1169" s="313" t="s">
        <v>1068</v>
      </c>
      <c r="C1169" s="312" t="s">
        <v>15</v>
      </c>
      <c r="D1169" s="314">
        <v>2243</v>
      </c>
      <c r="E1169" s="313" t="s">
        <v>937</v>
      </c>
      <c r="F1169" s="315" t="str">
        <f>IF(IF(A1169="","",COUNTIF(CONSOLIDADO!$A:$A,$A1169))=0,"REVISAR","OK")</f>
        <v>OK</v>
      </c>
    </row>
    <row r="1170" spans="1:6" x14ac:dyDescent="0.2">
      <c r="A1170" s="312" t="s">
        <v>666</v>
      </c>
      <c r="B1170" s="313" t="s">
        <v>1068</v>
      </c>
      <c r="C1170" s="312" t="s">
        <v>15</v>
      </c>
      <c r="D1170" s="314">
        <v>2390</v>
      </c>
      <c r="E1170" s="313" t="s">
        <v>943</v>
      </c>
      <c r="F1170" s="315" t="str">
        <f>IF(IF(A1170="","",COUNTIF(CONSOLIDADO!$A:$A,$A1170))=0,"REVISAR","OK")</f>
        <v>OK</v>
      </c>
    </row>
    <row r="1171" spans="1:6" x14ac:dyDescent="0.2">
      <c r="A1171" s="312" t="s">
        <v>666</v>
      </c>
      <c r="B1171" s="313" t="s">
        <v>1068</v>
      </c>
      <c r="C1171" s="312" t="s">
        <v>15</v>
      </c>
      <c r="D1171" s="314">
        <v>2518</v>
      </c>
      <c r="E1171" s="313" t="s">
        <v>930</v>
      </c>
      <c r="F1171" s="315" t="str">
        <f>IF(IF(A1171="","",COUNTIF(CONSOLIDADO!$A:$A,$A1171))=0,"REVISAR","OK")</f>
        <v>OK</v>
      </c>
    </row>
    <row r="1172" spans="1:6" x14ac:dyDescent="0.2">
      <c r="A1172" s="312" t="s">
        <v>666</v>
      </c>
      <c r="B1172" s="313" t="s">
        <v>1068</v>
      </c>
      <c r="C1172" s="312" t="s">
        <v>15</v>
      </c>
      <c r="D1172" s="314">
        <v>2518</v>
      </c>
      <c r="E1172" s="313" t="s">
        <v>953</v>
      </c>
      <c r="F1172" s="315" t="str">
        <f>IF(IF(A1172="","",COUNTIF(CONSOLIDADO!$A:$A,$A1172))=0,"REVISAR","OK")</f>
        <v>OK</v>
      </c>
    </row>
    <row r="1173" spans="1:6" x14ac:dyDescent="0.2">
      <c r="A1173" s="312" t="s">
        <v>666</v>
      </c>
      <c r="B1173" s="313" t="s">
        <v>1068</v>
      </c>
      <c r="C1173" s="312" t="s">
        <v>15</v>
      </c>
      <c r="D1173" s="314">
        <v>2657</v>
      </c>
      <c r="E1173" s="313" t="s">
        <v>935</v>
      </c>
      <c r="F1173" s="315" t="str">
        <f>IF(IF(A1173="","",COUNTIF(CONSOLIDADO!$A:$A,$A1173))=0,"REVISAR","OK")</f>
        <v>OK</v>
      </c>
    </row>
    <row r="1174" spans="1:6" x14ac:dyDescent="0.2">
      <c r="A1174" s="312" t="s">
        <v>666</v>
      </c>
      <c r="B1174" s="313" t="s">
        <v>1068</v>
      </c>
      <c r="C1174" s="312" t="s">
        <v>15</v>
      </c>
      <c r="D1174" s="314">
        <v>2737</v>
      </c>
      <c r="E1174" s="313" t="s">
        <v>2258</v>
      </c>
      <c r="F1174" s="315" t="str">
        <f>IF(IF(A1174="","",COUNTIF(CONSOLIDADO!$A:$A,$A1174))=0,"REVISAR","OK")</f>
        <v>OK</v>
      </c>
    </row>
    <row r="1175" spans="1:6" x14ac:dyDescent="0.2">
      <c r="A1175" s="312" t="s">
        <v>666</v>
      </c>
      <c r="B1175" s="313" t="s">
        <v>1068</v>
      </c>
      <c r="C1175" s="312" t="s">
        <v>15</v>
      </c>
      <c r="D1175" s="314">
        <v>2856</v>
      </c>
      <c r="E1175" s="313" t="s">
        <v>931</v>
      </c>
      <c r="F1175" s="315" t="str">
        <f>IF(IF(A1175="","",COUNTIF(CONSOLIDADO!$A:$A,$A1175))=0,"REVISAR","OK")</f>
        <v>OK</v>
      </c>
    </row>
    <row r="1176" spans="1:6" x14ac:dyDescent="0.2">
      <c r="A1176" s="312" t="s">
        <v>1069</v>
      </c>
      <c r="B1176" s="313" t="s">
        <v>182</v>
      </c>
      <c r="C1176" s="312" t="s">
        <v>906</v>
      </c>
      <c r="D1176" s="314">
        <v>979</v>
      </c>
      <c r="E1176" s="313" t="s">
        <v>951</v>
      </c>
      <c r="F1176" s="315" t="str">
        <f>IF(IF(A1176="","",COUNTIF(CONSOLIDADO!$A:$A,$A1176))=0,"REVISAR","OK")</f>
        <v>OK</v>
      </c>
    </row>
    <row r="1177" spans="1:6" x14ac:dyDescent="0.2">
      <c r="A1177" s="312" t="s">
        <v>667</v>
      </c>
      <c r="B1177" s="313" t="s">
        <v>1068</v>
      </c>
      <c r="C1177" s="312" t="s">
        <v>906</v>
      </c>
      <c r="D1177" s="314">
        <v>1244</v>
      </c>
      <c r="E1177" s="313" t="s">
        <v>937</v>
      </c>
      <c r="F1177" s="315" t="str">
        <f>IF(IF(A1177="","",COUNTIF(CONSOLIDADO!$A:$A,$A1177))=0,"REVISAR","OK")</f>
        <v>OK</v>
      </c>
    </row>
    <row r="1178" spans="1:6" x14ac:dyDescent="0.2">
      <c r="A1178" s="312" t="s">
        <v>667</v>
      </c>
      <c r="B1178" s="313" t="s">
        <v>1068</v>
      </c>
      <c r="C1178" s="312" t="s">
        <v>906</v>
      </c>
      <c r="D1178" s="314">
        <v>2690</v>
      </c>
      <c r="E1178" s="313" t="s">
        <v>934</v>
      </c>
      <c r="F1178" s="315" t="str">
        <f>IF(IF(A1178="","",COUNTIF(CONSOLIDADO!$A:$A,$A1178))=0,"REVISAR","OK")</f>
        <v>OK</v>
      </c>
    </row>
    <row r="1179" spans="1:6" x14ac:dyDescent="0.2">
      <c r="A1179" s="312" t="s">
        <v>667</v>
      </c>
      <c r="B1179" s="313" t="s">
        <v>1068</v>
      </c>
      <c r="C1179" s="312" t="s">
        <v>906</v>
      </c>
      <c r="D1179" s="314">
        <v>2856</v>
      </c>
      <c r="E1179" s="313" t="s">
        <v>982</v>
      </c>
      <c r="F1179" s="315" t="str">
        <f>IF(IF(A1179="","",COUNTIF(CONSOLIDADO!$A:$A,$A1179))=0,"REVISAR","OK")</f>
        <v>OK</v>
      </c>
    </row>
    <row r="1180" spans="1:6" x14ac:dyDescent="0.2">
      <c r="A1180" s="312" t="s">
        <v>1412</v>
      </c>
      <c r="B1180" s="313" t="s">
        <v>1413</v>
      </c>
      <c r="C1180" s="312" t="s">
        <v>906</v>
      </c>
      <c r="D1180" s="314">
        <v>9401</v>
      </c>
      <c r="E1180" s="313" t="s">
        <v>935</v>
      </c>
      <c r="F1180" s="315" t="str">
        <f>IF(IF(A1180="","",COUNTIF(CONSOLIDADO!$A:$A,$A1180))=0,"REVISAR","OK")</f>
        <v>OK</v>
      </c>
    </row>
    <row r="1181" spans="1:6" x14ac:dyDescent="0.2">
      <c r="A1181" s="312" t="s">
        <v>1412</v>
      </c>
      <c r="B1181" s="313" t="s">
        <v>1413</v>
      </c>
      <c r="C1181" s="312" t="s">
        <v>906</v>
      </c>
      <c r="D1181" s="314">
        <v>9500</v>
      </c>
      <c r="E1181" s="313" t="s">
        <v>937</v>
      </c>
      <c r="F1181" s="315" t="str">
        <f>IF(IF(A1181="","",COUNTIF(CONSOLIDADO!$A:$A,$A1181))=0,"REVISAR","OK")</f>
        <v>OK</v>
      </c>
    </row>
    <row r="1182" spans="1:6" x14ac:dyDescent="0.2">
      <c r="A1182" s="312" t="s">
        <v>1414</v>
      </c>
      <c r="B1182" s="313" t="s">
        <v>1415</v>
      </c>
      <c r="C1182" s="312" t="s">
        <v>906</v>
      </c>
      <c r="D1182" s="314">
        <v>1979</v>
      </c>
      <c r="E1182" s="313" t="s">
        <v>2238</v>
      </c>
      <c r="F1182" s="315" t="str">
        <f>IF(IF(A1182="","",COUNTIF(CONSOLIDADO!$A:$A,$A1182))=0,"REVISAR","OK")</f>
        <v>OK</v>
      </c>
    </row>
    <row r="1183" spans="1:6" x14ac:dyDescent="0.2">
      <c r="A1183" s="312" t="s">
        <v>1070</v>
      </c>
      <c r="B1183" s="313" t="s">
        <v>1071</v>
      </c>
      <c r="C1183" s="312" t="s">
        <v>906</v>
      </c>
      <c r="D1183" s="314">
        <v>850</v>
      </c>
      <c r="E1183" s="313" t="s">
        <v>2073</v>
      </c>
      <c r="F1183" s="315" t="str">
        <f>IF(IF(A1183="","",COUNTIF(CONSOLIDADO!$A:$A,$A1183))=0,"REVISAR","OK")</f>
        <v>OK</v>
      </c>
    </row>
    <row r="1184" spans="1:6" x14ac:dyDescent="0.2">
      <c r="A1184" s="312" t="s">
        <v>1070</v>
      </c>
      <c r="B1184" s="313" t="s">
        <v>1071</v>
      </c>
      <c r="C1184" s="312" t="s">
        <v>906</v>
      </c>
      <c r="D1184" s="314">
        <v>2082</v>
      </c>
      <c r="E1184" s="313" t="s">
        <v>938</v>
      </c>
      <c r="F1184" s="315" t="str">
        <f>IF(IF(A1184="","",COUNTIF(CONSOLIDADO!$A:$A,$A1184))=0,"REVISAR","OK")</f>
        <v>OK</v>
      </c>
    </row>
    <row r="1185" spans="1:6" x14ac:dyDescent="0.2">
      <c r="A1185" s="312" t="s">
        <v>1416</v>
      </c>
      <c r="B1185" s="313" t="s">
        <v>381</v>
      </c>
      <c r="C1185" s="312" t="s">
        <v>906</v>
      </c>
      <c r="D1185" s="314">
        <v>1500</v>
      </c>
      <c r="E1185" s="313" t="s">
        <v>2211</v>
      </c>
      <c r="F1185" s="315" t="str">
        <f>IF(IF(A1185="","",COUNTIF(CONSOLIDADO!$A:$A,$A1185))=0,"REVISAR","OK")</f>
        <v>OK</v>
      </c>
    </row>
    <row r="1186" spans="1:6" x14ac:dyDescent="0.2">
      <c r="A1186" s="312" t="s">
        <v>1419</v>
      </c>
      <c r="B1186" s="313" t="s">
        <v>1420</v>
      </c>
      <c r="C1186" s="312" t="s">
        <v>111</v>
      </c>
      <c r="D1186" s="314">
        <v>1130</v>
      </c>
      <c r="E1186" s="313" t="s">
        <v>2146</v>
      </c>
      <c r="F1186" s="315" t="str">
        <f>IF(IF(A1186="","",COUNTIF(CONSOLIDADO!$A:$A,$A1186))=0,"REVISAR","OK")</f>
        <v>OK</v>
      </c>
    </row>
    <row r="1187" spans="1:6" x14ac:dyDescent="0.2">
      <c r="A1187" s="312" t="s">
        <v>760</v>
      </c>
      <c r="B1187" s="313" t="s">
        <v>549</v>
      </c>
      <c r="C1187" s="312" t="s">
        <v>111</v>
      </c>
      <c r="D1187" s="314">
        <v>722</v>
      </c>
      <c r="E1187" s="313" t="s">
        <v>953</v>
      </c>
      <c r="F1187" s="315" t="str">
        <f>IF(IF(A1187="","",COUNTIF(CONSOLIDADO!$A:$A,$A1187))=0,"REVISAR","OK")</f>
        <v>OK</v>
      </c>
    </row>
    <row r="1188" spans="1:6" x14ac:dyDescent="0.2">
      <c r="A1188" s="312" t="s">
        <v>760</v>
      </c>
      <c r="B1188" s="313" t="s">
        <v>549</v>
      </c>
      <c r="C1188" s="312" t="s">
        <v>111</v>
      </c>
      <c r="D1188" s="314">
        <v>722</v>
      </c>
      <c r="E1188" s="313" t="s">
        <v>2276</v>
      </c>
      <c r="F1188" s="315" t="str">
        <f>IF(IF(A1188="","",COUNTIF(CONSOLIDADO!$A:$A,$A1188))=0,"REVISAR","OK")</f>
        <v>OK</v>
      </c>
    </row>
    <row r="1189" spans="1:6" x14ac:dyDescent="0.2">
      <c r="A1189" s="312" t="s">
        <v>760</v>
      </c>
      <c r="B1189" s="313" t="s">
        <v>549</v>
      </c>
      <c r="C1189" s="312" t="s">
        <v>111</v>
      </c>
      <c r="D1189" s="314">
        <v>738</v>
      </c>
      <c r="E1189" s="313" t="s">
        <v>929</v>
      </c>
      <c r="F1189" s="315" t="str">
        <f>IF(IF(A1189="","",COUNTIF(CONSOLIDADO!$A:$A,$A1189))=0,"REVISAR","OK")</f>
        <v>OK</v>
      </c>
    </row>
    <row r="1190" spans="1:6" x14ac:dyDescent="0.2">
      <c r="A1190" s="312" t="s">
        <v>760</v>
      </c>
      <c r="B1190" s="313" t="s">
        <v>549</v>
      </c>
      <c r="C1190" s="312" t="s">
        <v>111</v>
      </c>
      <c r="D1190" s="314">
        <v>940</v>
      </c>
      <c r="E1190" s="313" t="s">
        <v>2210</v>
      </c>
      <c r="F1190" s="315" t="str">
        <f>IF(IF(A1190="","",COUNTIF(CONSOLIDADO!$A:$A,$A1190))=0,"REVISAR","OK")</f>
        <v>OK</v>
      </c>
    </row>
    <row r="1191" spans="1:6" x14ac:dyDescent="0.2">
      <c r="A1191" s="312" t="s">
        <v>760</v>
      </c>
      <c r="B1191" s="313" t="s">
        <v>549</v>
      </c>
      <c r="C1191" s="312" t="s">
        <v>111</v>
      </c>
      <c r="D1191" s="314">
        <v>1059</v>
      </c>
      <c r="E1191" s="313" t="s">
        <v>2146</v>
      </c>
      <c r="F1191" s="315" t="str">
        <f>IF(IF(A1191="","",COUNTIF(CONSOLIDADO!$A:$A,$A1191))=0,"REVISAR","OK")</f>
        <v>OK</v>
      </c>
    </row>
    <row r="1192" spans="1:6" x14ac:dyDescent="0.2">
      <c r="A1192" s="312" t="s">
        <v>760</v>
      </c>
      <c r="B1192" s="313" t="s">
        <v>549</v>
      </c>
      <c r="C1192" s="312" t="s">
        <v>111</v>
      </c>
      <c r="D1192" s="314">
        <v>1145</v>
      </c>
      <c r="E1192" s="313" t="s">
        <v>2233</v>
      </c>
      <c r="F1192" s="315" t="str">
        <f>IF(IF(A1192="","",COUNTIF(CONSOLIDADO!$A:$A,$A1192))=0,"REVISAR","OK")</f>
        <v>OK</v>
      </c>
    </row>
    <row r="1193" spans="1:6" x14ac:dyDescent="0.2">
      <c r="A1193" s="312" t="s">
        <v>849</v>
      </c>
      <c r="B1193" s="313" t="s">
        <v>441</v>
      </c>
      <c r="C1193" s="312" t="s">
        <v>15</v>
      </c>
      <c r="D1193" s="314">
        <v>6162</v>
      </c>
      <c r="E1193" s="313" t="s">
        <v>937</v>
      </c>
      <c r="F1193" s="315" t="str">
        <f>IF(IF(A1193="","",COUNTIF(CONSOLIDADO!$A:$A,$A1193))=0,"REVISAR","OK")</f>
        <v>OK</v>
      </c>
    </row>
    <row r="1194" spans="1:6" x14ac:dyDescent="0.2">
      <c r="A1194" s="312" t="s">
        <v>831</v>
      </c>
      <c r="B1194" s="313" t="s">
        <v>442</v>
      </c>
      <c r="C1194" s="312" t="s">
        <v>15</v>
      </c>
      <c r="D1194" s="314">
        <v>1783</v>
      </c>
      <c r="E1194" s="313" t="s">
        <v>952</v>
      </c>
      <c r="F1194" s="315" t="str">
        <f>IF(IF(A1194="","",COUNTIF(CONSOLIDADO!$A:$A,$A1194))=0,"REVISAR","OK")</f>
        <v>OK</v>
      </c>
    </row>
    <row r="1195" spans="1:6" x14ac:dyDescent="0.2">
      <c r="A1195" s="312" t="s">
        <v>831</v>
      </c>
      <c r="B1195" s="313" t="s">
        <v>442</v>
      </c>
      <c r="C1195" s="312" t="s">
        <v>15</v>
      </c>
      <c r="D1195" s="314">
        <v>1783</v>
      </c>
      <c r="E1195" s="313" t="s">
        <v>2258</v>
      </c>
      <c r="F1195" s="315" t="str">
        <f>IF(IF(A1195="","",COUNTIF(CONSOLIDADO!$A:$A,$A1195))=0,"REVISAR","OK")</f>
        <v>OK</v>
      </c>
    </row>
    <row r="1196" spans="1:6" x14ac:dyDescent="0.2">
      <c r="A1196" s="312" t="s">
        <v>831</v>
      </c>
      <c r="B1196" s="313" t="s">
        <v>442</v>
      </c>
      <c r="C1196" s="312" t="s">
        <v>15</v>
      </c>
      <c r="D1196" s="314">
        <v>1783</v>
      </c>
      <c r="E1196" s="313" t="s">
        <v>999</v>
      </c>
      <c r="F1196" s="315" t="str">
        <f>IF(IF(A1196="","",COUNTIF(CONSOLIDADO!$A:$A,$A1196))=0,"REVISAR","OK")</f>
        <v>OK</v>
      </c>
    </row>
    <row r="1197" spans="1:6" x14ac:dyDescent="0.2">
      <c r="A1197" s="312" t="s">
        <v>831</v>
      </c>
      <c r="B1197" s="313" t="s">
        <v>442</v>
      </c>
      <c r="C1197" s="312" t="s">
        <v>15</v>
      </c>
      <c r="D1197" s="314">
        <v>1783</v>
      </c>
      <c r="E1197" s="313" t="s">
        <v>944</v>
      </c>
      <c r="F1197" s="315" t="str">
        <f>IF(IF(A1197="","",COUNTIF(CONSOLIDADO!$A:$A,$A1197))=0,"REVISAR","OK")</f>
        <v>OK</v>
      </c>
    </row>
    <row r="1198" spans="1:6" x14ac:dyDescent="0.2">
      <c r="A1198" s="312" t="s">
        <v>831</v>
      </c>
      <c r="B1198" s="313" t="s">
        <v>442</v>
      </c>
      <c r="C1198" s="312" t="s">
        <v>15</v>
      </c>
      <c r="D1198" s="314">
        <v>1783</v>
      </c>
      <c r="E1198" s="313" t="s">
        <v>933</v>
      </c>
      <c r="F1198" s="315" t="str">
        <f>IF(IF(A1198="","",COUNTIF(CONSOLIDADO!$A:$A,$A1198))=0,"REVISAR","OK")</f>
        <v>OK</v>
      </c>
    </row>
    <row r="1199" spans="1:6" x14ac:dyDescent="0.2">
      <c r="A1199" s="312" t="s">
        <v>831</v>
      </c>
      <c r="B1199" s="313" t="s">
        <v>442</v>
      </c>
      <c r="C1199" s="312" t="s">
        <v>15</v>
      </c>
      <c r="D1199" s="314">
        <v>1783</v>
      </c>
      <c r="E1199" s="313" t="s">
        <v>2275</v>
      </c>
      <c r="F1199" s="315" t="str">
        <f>IF(IF(A1199="","",COUNTIF(CONSOLIDADO!$A:$A,$A1199))=0,"REVISAR","OK")</f>
        <v>OK</v>
      </c>
    </row>
    <row r="1200" spans="1:6" x14ac:dyDescent="0.2">
      <c r="A1200" s="312" t="s">
        <v>831</v>
      </c>
      <c r="B1200" s="313" t="s">
        <v>442</v>
      </c>
      <c r="C1200" s="312" t="s">
        <v>15</v>
      </c>
      <c r="D1200" s="314">
        <v>1783</v>
      </c>
      <c r="E1200" s="313" t="s">
        <v>2233</v>
      </c>
      <c r="F1200" s="315" t="str">
        <f>IF(IF(A1200="","",COUNTIF(CONSOLIDADO!$A:$A,$A1200))=0,"REVISAR","OK")</f>
        <v>OK</v>
      </c>
    </row>
    <row r="1201" spans="1:6" x14ac:dyDescent="0.2">
      <c r="A1201" s="312" t="s">
        <v>831</v>
      </c>
      <c r="B1201" s="313" t="s">
        <v>442</v>
      </c>
      <c r="C1201" s="312" t="s">
        <v>15</v>
      </c>
      <c r="D1201" s="314">
        <v>1783</v>
      </c>
      <c r="E1201" s="313" t="s">
        <v>943</v>
      </c>
      <c r="F1201" s="315" t="str">
        <f>IF(IF(A1201="","",COUNTIF(CONSOLIDADO!$A:$A,$A1201))=0,"REVISAR","OK")</f>
        <v>OK</v>
      </c>
    </row>
    <row r="1202" spans="1:6" x14ac:dyDescent="0.2">
      <c r="A1202" s="312" t="s">
        <v>831</v>
      </c>
      <c r="B1202" s="313" t="s">
        <v>442</v>
      </c>
      <c r="C1202" s="312" t="s">
        <v>15</v>
      </c>
      <c r="D1202" s="314">
        <v>1783</v>
      </c>
      <c r="E1202" s="313" t="s">
        <v>931</v>
      </c>
      <c r="F1202" s="315" t="str">
        <f>IF(IF(A1202="","",COUNTIF(CONSOLIDADO!$A:$A,$A1202))=0,"REVISAR","OK")</f>
        <v>OK</v>
      </c>
    </row>
    <row r="1203" spans="1:6" x14ac:dyDescent="0.2">
      <c r="A1203" s="312" t="s">
        <v>831</v>
      </c>
      <c r="B1203" s="313" t="s">
        <v>442</v>
      </c>
      <c r="C1203" s="312" t="s">
        <v>15</v>
      </c>
      <c r="D1203" s="314">
        <v>1783</v>
      </c>
      <c r="E1203" s="313" t="s">
        <v>1074</v>
      </c>
      <c r="F1203" s="315" t="str">
        <f>IF(IF(A1203="","",COUNTIF(CONSOLIDADO!$A:$A,$A1203))=0,"REVISAR","OK")</f>
        <v>OK</v>
      </c>
    </row>
    <row r="1204" spans="1:6" x14ac:dyDescent="0.2">
      <c r="A1204" s="312" t="s">
        <v>831</v>
      </c>
      <c r="B1204" s="313" t="s">
        <v>442</v>
      </c>
      <c r="C1204" s="312" t="s">
        <v>15</v>
      </c>
      <c r="D1204" s="314">
        <v>1783</v>
      </c>
      <c r="E1204" s="313" t="s">
        <v>936</v>
      </c>
      <c r="F1204" s="315" t="str">
        <f>IF(IF(A1204="","",COUNTIF(CONSOLIDADO!$A:$A,$A1204))=0,"REVISAR","OK")</f>
        <v>OK</v>
      </c>
    </row>
    <row r="1205" spans="1:6" x14ac:dyDescent="0.2">
      <c r="A1205" s="312" t="s">
        <v>831</v>
      </c>
      <c r="B1205" s="313" t="s">
        <v>442</v>
      </c>
      <c r="C1205" s="312" t="s">
        <v>15</v>
      </c>
      <c r="D1205" s="314">
        <v>1783</v>
      </c>
      <c r="E1205" s="313" t="s">
        <v>934</v>
      </c>
      <c r="F1205" s="315" t="str">
        <f>IF(IF(A1205="","",COUNTIF(CONSOLIDADO!$A:$A,$A1205))=0,"REVISAR","OK")</f>
        <v>OK</v>
      </c>
    </row>
    <row r="1206" spans="1:6" x14ac:dyDescent="0.2">
      <c r="A1206" s="312" t="s">
        <v>831</v>
      </c>
      <c r="B1206" s="313" t="s">
        <v>442</v>
      </c>
      <c r="C1206" s="312" t="s">
        <v>15</v>
      </c>
      <c r="D1206" s="314">
        <v>1783</v>
      </c>
      <c r="E1206" s="313" t="s">
        <v>2210</v>
      </c>
      <c r="F1206" s="315" t="str">
        <f>IF(IF(A1206="","",COUNTIF(CONSOLIDADO!$A:$A,$A1206))=0,"REVISAR","OK")</f>
        <v>OK</v>
      </c>
    </row>
    <row r="1207" spans="1:6" x14ac:dyDescent="0.2">
      <c r="A1207" s="312" t="s">
        <v>831</v>
      </c>
      <c r="B1207" s="313" t="s">
        <v>442</v>
      </c>
      <c r="C1207" s="312" t="s">
        <v>15</v>
      </c>
      <c r="D1207" s="314">
        <v>1783</v>
      </c>
      <c r="E1207" s="313" t="s">
        <v>937</v>
      </c>
      <c r="F1207" s="315" t="str">
        <f>IF(IF(A1207="","",COUNTIF(CONSOLIDADO!$A:$A,$A1207))=0,"REVISAR","OK")</f>
        <v>OK</v>
      </c>
    </row>
    <row r="1208" spans="1:6" x14ac:dyDescent="0.2">
      <c r="A1208" s="312" t="s">
        <v>831</v>
      </c>
      <c r="B1208" s="313" t="s">
        <v>442</v>
      </c>
      <c r="C1208" s="312" t="s">
        <v>15</v>
      </c>
      <c r="D1208" s="314">
        <v>1783</v>
      </c>
      <c r="E1208" s="313" t="s">
        <v>946</v>
      </c>
      <c r="F1208" s="315" t="str">
        <f>IF(IF(A1208="","",COUNTIF(CONSOLIDADO!$A:$A,$A1208))=0,"REVISAR","OK")</f>
        <v>OK</v>
      </c>
    </row>
    <row r="1209" spans="1:6" x14ac:dyDescent="0.2">
      <c r="A1209" s="312" t="s">
        <v>831</v>
      </c>
      <c r="B1209" s="313" t="s">
        <v>442</v>
      </c>
      <c r="C1209" s="312" t="s">
        <v>15</v>
      </c>
      <c r="D1209" s="314">
        <v>1783</v>
      </c>
      <c r="E1209" s="313" t="s">
        <v>929</v>
      </c>
      <c r="F1209" s="315" t="str">
        <f>IF(IF(A1209="","",COUNTIF(CONSOLIDADO!$A:$A,$A1209))=0,"REVISAR","OK")</f>
        <v>OK</v>
      </c>
    </row>
    <row r="1210" spans="1:6" x14ac:dyDescent="0.2">
      <c r="A1210" s="312" t="s">
        <v>831</v>
      </c>
      <c r="B1210" s="313" t="s">
        <v>442</v>
      </c>
      <c r="C1210" s="312" t="s">
        <v>15</v>
      </c>
      <c r="D1210" s="314">
        <v>1783</v>
      </c>
      <c r="E1210" s="313" t="s">
        <v>948</v>
      </c>
      <c r="F1210" s="315" t="str">
        <f>IF(IF(A1210="","",COUNTIF(CONSOLIDADO!$A:$A,$A1210))=0,"REVISAR","OK")</f>
        <v>OK</v>
      </c>
    </row>
    <row r="1211" spans="1:6" x14ac:dyDescent="0.2">
      <c r="A1211" s="312" t="s">
        <v>831</v>
      </c>
      <c r="B1211" s="313" t="s">
        <v>442</v>
      </c>
      <c r="C1211" s="312" t="s">
        <v>15</v>
      </c>
      <c r="D1211" s="314">
        <v>1783</v>
      </c>
      <c r="E1211" s="313" t="s">
        <v>950</v>
      </c>
      <c r="F1211" s="315" t="str">
        <f>IF(IF(A1211="","",COUNTIF(CONSOLIDADO!$A:$A,$A1211))=0,"REVISAR","OK")</f>
        <v>OK</v>
      </c>
    </row>
    <row r="1212" spans="1:6" x14ac:dyDescent="0.2">
      <c r="A1212" s="312" t="s">
        <v>831</v>
      </c>
      <c r="B1212" s="313" t="s">
        <v>442</v>
      </c>
      <c r="C1212" s="312" t="s">
        <v>15</v>
      </c>
      <c r="D1212" s="314">
        <v>1783</v>
      </c>
      <c r="E1212" s="313" t="s">
        <v>2238</v>
      </c>
      <c r="F1212" s="315" t="str">
        <f>IF(IF(A1212="","",COUNTIF(CONSOLIDADO!$A:$A,$A1212))=0,"REVISAR","OK")</f>
        <v>OK</v>
      </c>
    </row>
    <row r="1213" spans="1:6" x14ac:dyDescent="0.2">
      <c r="A1213" s="312" t="s">
        <v>831</v>
      </c>
      <c r="B1213" s="313" t="s">
        <v>442</v>
      </c>
      <c r="C1213" s="312" t="s">
        <v>15</v>
      </c>
      <c r="D1213" s="314">
        <v>1783</v>
      </c>
      <c r="E1213" s="313" t="s">
        <v>945</v>
      </c>
      <c r="F1213" s="315" t="str">
        <f>IF(IF(A1213="","",COUNTIF(CONSOLIDADO!$A:$A,$A1213))=0,"REVISAR","OK")</f>
        <v>OK</v>
      </c>
    </row>
    <row r="1214" spans="1:6" x14ac:dyDescent="0.2">
      <c r="A1214" s="312" t="s">
        <v>831</v>
      </c>
      <c r="B1214" s="313" t="s">
        <v>442</v>
      </c>
      <c r="C1214" s="312" t="s">
        <v>15</v>
      </c>
      <c r="D1214" s="314">
        <v>1783</v>
      </c>
      <c r="E1214" s="313" t="s">
        <v>949</v>
      </c>
      <c r="F1214" s="315" t="str">
        <f>IF(IF(A1214="","",COUNTIF(CONSOLIDADO!$A:$A,$A1214))=0,"REVISAR","OK")</f>
        <v>OK</v>
      </c>
    </row>
    <row r="1215" spans="1:6" x14ac:dyDescent="0.2">
      <c r="A1215" s="312" t="s">
        <v>831</v>
      </c>
      <c r="B1215" s="313" t="s">
        <v>442</v>
      </c>
      <c r="C1215" s="312" t="s">
        <v>15</v>
      </c>
      <c r="D1215" s="314">
        <v>1783</v>
      </c>
      <c r="E1215" s="313" t="s">
        <v>2005</v>
      </c>
      <c r="F1215" s="315" t="str">
        <f>IF(IF(A1215="","",COUNTIF(CONSOLIDADO!$A:$A,$A1215))=0,"REVISAR","OK")</f>
        <v>OK</v>
      </c>
    </row>
    <row r="1216" spans="1:6" x14ac:dyDescent="0.2">
      <c r="A1216" s="312" t="s">
        <v>831</v>
      </c>
      <c r="B1216" s="313" t="s">
        <v>442</v>
      </c>
      <c r="C1216" s="312" t="s">
        <v>15</v>
      </c>
      <c r="D1216" s="314">
        <v>1783</v>
      </c>
      <c r="E1216" s="313" t="s">
        <v>935</v>
      </c>
      <c r="F1216" s="315" t="str">
        <f>IF(IF(A1216="","",COUNTIF(CONSOLIDADO!$A:$A,$A1216))=0,"REVISAR","OK")</f>
        <v>OK</v>
      </c>
    </row>
    <row r="1217" spans="1:6" x14ac:dyDescent="0.2">
      <c r="A1217" s="312" t="s">
        <v>831</v>
      </c>
      <c r="B1217" s="313" t="s">
        <v>442</v>
      </c>
      <c r="C1217" s="312" t="s">
        <v>15</v>
      </c>
      <c r="D1217" s="314">
        <v>1783</v>
      </c>
      <c r="E1217" s="313" t="s">
        <v>932</v>
      </c>
      <c r="F1217" s="315" t="str">
        <f>IF(IF(A1217="","",COUNTIF(CONSOLIDADO!$A:$A,$A1217))=0,"REVISAR","OK")</f>
        <v>OK</v>
      </c>
    </row>
    <row r="1218" spans="1:6" x14ac:dyDescent="0.2">
      <c r="A1218" s="312" t="s">
        <v>831</v>
      </c>
      <c r="B1218" s="313" t="s">
        <v>442</v>
      </c>
      <c r="C1218" s="312" t="s">
        <v>15</v>
      </c>
      <c r="D1218" s="314">
        <v>1840</v>
      </c>
      <c r="E1218" s="313" t="s">
        <v>974</v>
      </c>
      <c r="F1218" s="315" t="str">
        <f>IF(IF(A1218="","",COUNTIF(CONSOLIDADO!$A:$A,$A1218))=0,"REVISAR","OK")</f>
        <v>OK</v>
      </c>
    </row>
    <row r="1219" spans="1:6" x14ac:dyDescent="0.2">
      <c r="A1219" s="312" t="s">
        <v>831</v>
      </c>
      <c r="B1219" s="313" t="s">
        <v>442</v>
      </c>
      <c r="C1219" s="312" t="s">
        <v>15</v>
      </c>
      <c r="D1219" s="314">
        <v>1840</v>
      </c>
      <c r="E1219" s="313" t="s">
        <v>940</v>
      </c>
      <c r="F1219" s="315" t="str">
        <f>IF(IF(A1219="","",COUNTIF(CONSOLIDADO!$A:$A,$A1219))=0,"REVISAR","OK")</f>
        <v>OK</v>
      </c>
    </row>
    <row r="1220" spans="1:6" x14ac:dyDescent="0.2">
      <c r="A1220" s="312" t="s">
        <v>831</v>
      </c>
      <c r="B1220" s="313" t="s">
        <v>442</v>
      </c>
      <c r="C1220" s="312" t="s">
        <v>15</v>
      </c>
      <c r="D1220" s="314">
        <v>1899</v>
      </c>
      <c r="E1220" s="313" t="s">
        <v>976</v>
      </c>
      <c r="F1220" s="315" t="str">
        <f>IF(IF(A1220="","",COUNTIF(CONSOLIDADO!$A:$A,$A1220))=0,"REVISAR","OK")</f>
        <v>OK</v>
      </c>
    </row>
    <row r="1221" spans="1:6" x14ac:dyDescent="0.2">
      <c r="A1221" s="312" t="s">
        <v>831</v>
      </c>
      <c r="B1221" s="313" t="s">
        <v>442</v>
      </c>
      <c r="C1221" s="312" t="s">
        <v>15</v>
      </c>
      <c r="D1221" s="314">
        <v>1900</v>
      </c>
      <c r="E1221" s="313" t="s">
        <v>2073</v>
      </c>
      <c r="F1221" s="315" t="str">
        <f>IF(IF(A1221="","",COUNTIF(CONSOLIDADO!$A:$A,$A1221))=0,"REVISAR","OK")</f>
        <v>OK</v>
      </c>
    </row>
    <row r="1222" spans="1:6" x14ac:dyDescent="0.2">
      <c r="A1222" s="312" t="s">
        <v>831</v>
      </c>
      <c r="B1222" s="313" t="s">
        <v>442</v>
      </c>
      <c r="C1222" s="312" t="s">
        <v>15</v>
      </c>
      <c r="D1222" s="314">
        <v>1900</v>
      </c>
      <c r="E1222" s="313" t="s">
        <v>2073</v>
      </c>
      <c r="F1222" s="315" t="str">
        <f>IF(IF(A1222="","",COUNTIF(CONSOLIDADO!$A:$A,$A1222))=0,"REVISAR","OK")</f>
        <v>OK</v>
      </c>
    </row>
    <row r="1223" spans="1:6" x14ac:dyDescent="0.2">
      <c r="A1223" s="312" t="s">
        <v>831</v>
      </c>
      <c r="B1223" s="313" t="s">
        <v>442</v>
      </c>
      <c r="C1223" s="312" t="s">
        <v>15</v>
      </c>
      <c r="D1223" s="314">
        <v>1904</v>
      </c>
      <c r="E1223" s="313" t="s">
        <v>938</v>
      </c>
      <c r="F1223" s="315" t="str">
        <f>IF(IF(A1223="","",COUNTIF(CONSOLIDADO!$A:$A,$A1223))=0,"REVISAR","OK")</f>
        <v>OK</v>
      </c>
    </row>
    <row r="1224" spans="1:6" x14ac:dyDescent="0.2">
      <c r="A1224" s="312" t="s">
        <v>831</v>
      </c>
      <c r="B1224" s="313" t="s">
        <v>442</v>
      </c>
      <c r="C1224" s="312" t="s">
        <v>15</v>
      </c>
      <c r="D1224" s="314">
        <v>1973</v>
      </c>
      <c r="E1224" s="313" t="s">
        <v>2276</v>
      </c>
      <c r="F1224" s="315" t="str">
        <f>IF(IF(A1224="","",COUNTIF(CONSOLIDADO!$A:$A,$A1224))=0,"REVISAR","OK")</f>
        <v>OK</v>
      </c>
    </row>
    <row r="1225" spans="1:6" x14ac:dyDescent="0.2">
      <c r="A1225" s="312" t="s">
        <v>831</v>
      </c>
      <c r="B1225" s="313" t="s">
        <v>442</v>
      </c>
      <c r="C1225" s="312" t="s">
        <v>15</v>
      </c>
      <c r="D1225" s="314">
        <v>1974</v>
      </c>
      <c r="E1225" s="313" t="s">
        <v>930</v>
      </c>
      <c r="F1225" s="315" t="str">
        <f>IF(IF(A1225="","",COUNTIF(CONSOLIDADO!$A:$A,$A1225))=0,"REVISAR","OK")</f>
        <v>OK</v>
      </c>
    </row>
    <row r="1226" spans="1:6" x14ac:dyDescent="0.2">
      <c r="A1226" s="312" t="s">
        <v>831</v>
      </c>
      <c r="B1226" s="313" t="s">
        <v>442</v>
      </c>
      <c r="C1226" s="312" t="s">
        <v>15</v>
      </c>
      <c r="D1226" s="314">
        <v>2000</v>
      </c>
      <c r="E1226" s="313" t="s">
        <v>954</v>
      </c>
      <c r="F1226" s="315" t="str">
        <f>IF(IF(A1226="","",COUNTIF(CONSOLIDADO!$A:$A,$A1226))=0,"REVISAR","OK")</f>
        <v>OK</v>
      </c>
    </row>
    <row r="1227" spans="1:6" x14ac:dyDescent="0.2">
      <c r="A1227" s="312" t="s">
        <v>831</v>
      </c>
      <c r="B1227" s="313" t="s">
        <v>442</v>
      </c>
      <c r="C1227" s="312" t="s">
        <v>15</v>
      </c>
      <c r="D1227" s="314">
        <v>2589</v>
      </c>
      <c r="E1227" s="313" t="s">
        <v>2176</v>
      </c>
      <c r="F1227" s="315" t="str">
        <f>IF(IF(A1227="","",COUNTIF(CONSOLIDADO!$A:$A,$A1227))=0,"REVISAR","OK")</f>
        <v>OK</v>
      </c>
    </row>
    <row r="1228" spans="1:6" x14ac:dyDescent="0.2">
      <c r="A1228" s="312" t="s">
        <v>831</v>
      </c>
      <c r="B1228" s="313" t="s">
        <v>442</v>
      </c>
      <c r="C1228" s="312" t="s">
        <v>15</v>
      </c>
      <c r="D1228" s="314">
        <v>2790</v>
      </c>
      <c r="E1228" s="313" t="s">
        <v>2276</v>
      </c>
      <c r="F1228" s="315" t="str">
        <f>IF(IF(A1228="","",COUNTIF(CONSOLIDADO!$A:$A,$A1228))=0,"REVISAR","OK")</f>
        <v>OK</v>
      </c>
    </row>
    <row r="1229" spans="1:6" x14ac:dyDescent="0.2">
      <c r="A1229" s="312" t="s">
        <v>1077</v>
      </c>
      <c r="B1229" s="313" t="s">
        <v>1078</v>
      </c>
      <c r="C1229" s="312" t="s">
        <v>947</v>
      </c>
      <c r="D1229" s="314">
        <v>10000</v>
      </c>
      <c r="E1229" s="313" t="s">
        <v>943</v>
      </c>
      <c r="F1229" s="315" t="str">
        <f>IF(IF(A1229="","",COUNTIF(CONSOLIDADO!$A:$A,$A1229))=0,"REVISAR","OK")</f>
        <v>OK</v>
      </c>
    </row>
    <row r="1230" spans="1:6" x14ac:dyDescent="0.2">
      <c r="A1230" s="312" t="s">
        <v>1424</v>
      </c>
      <c r="B1230" s="313" t="s">
        <v>1425</v>
      </c>
      <c r="C1230" s="312" t="s">
        <v>906</v>
      </c>
      <c r="D1230" s="314">
        <v>2330</v>
      </c>
      <c r="E1230" s="313" t="s">
        <v>2073</v>
      </c>
      <c r="F1230" s="315" t="str">
        <f>IF(IF(A1230="","",COUNTIF(CONSOLIDADO!$A:$A,$A1230))=0,"REVISAR","OK")</f>
        <v>OK</v>
      </c>
    </row>
    <row r="1231" spans="1:6" x14ac:dyDescent="0.2">
      <c r="A1231" s="312" t="s">
        <v>1079</v>
      </c>
      <c r="B1231" s="313" t="s">
        <v>984</v>
      </c>
      <c r="C1231" s="312" t="s">
        <v>15</v>
      </c>
      <c r="D1231" s="314">
        <v>2499</v>
      </c>
      <c r="E1231" s="313" t="s">
        <v>2275</v>
      </c>
      <c r="F1231" s="315" t="str">
        <f>IF(IF(A1231="","",COUNTIF(CONSOLIDADO!$A:$A,$A1231))=0,"REVISAR","OK")</f>
        <v>OK</v>
      </c>
    </row>
    <row r="1232" spans="1:6" x14ac:dyDescent="0.2">
      <c r="A1232" s="312" t="s">
        <v>1082</v>
      </c>
      <c r="B1232" s="313" t="s">
        <v>1083</v>
      </c>
      <c r="C1232" s="312" t="s">
        <v>1007</v>
      </c>
      <c r="D1232" s="314">
        <v>215</v>
      </c>
      <c r="E1232" s="313" t="s">
        <v>2276</v>
      </c>
      <c r="F1232" s="315" t="str">
        <f>IF(IF(A1232="","",COUNTIF(CONSOLIDADO!$A:$A,$A1232))=0,"REVISAR","OK")</f>
        <v>OK</v>
      </c>
    </row>
    <row r="1233" spans="1:6" x14ac:dyDescent="0.2">
      <c r="A1233" s="312" t="s">
        <v>1082</v>
      </c>
      <c r="B1233" s="313" t="s">
        <v>1083</v>
      </c>
      <c r="C1233" s="312" t="s">
        <v>1007</v>
      </c>
      <c r="D1233" s="314">
        <v>250</v>
      </c>
      <c r="E1233" s="313" t="s">
        <v>2274</v>
      </c>
      <c r="F1233" s="315" t="str">
        <f>IF(IF(A1233="","",COUNTIF(CONSOLIDADO!$A:$A,$A1233))=0,"REVISAR","OK")</f>
        <v>OK</v>
      </c>
    </row>
    <row r="1234" spans="1:6" x14ac:dyDescent="0.2">
      <c r="A1234" s="312" t="s">
        <v>1084</v>
      </c>
      <c r="B1234" s="313" t="s">
        <v>123</v>
      </c>
      <c r="C1234" s="312" t="s">
        <v>1007</v>
      </c>
      <c r="D1234" s="314">
        <v>1615</v>
      </c>
      <c r="E1234" s="313" t="s">
        <v>932</v>
      </c>
      <c r="F1234" s="315" t="str">
        <f>IF(IF(A1234="","",COUNTIF(CONSOLIDADO!$A:$A,$A1234))=0,"REVISAR","OK")</f>
        <v>OK</v>
      </c>
    </row>
    <row r="1235" spans="1:6" x14ac:dyDescent="0.2">
      <c r="A1235" s="312" t="s">
        <v>1084</v>
      </c>
      <c r="B1235" s="313" t="s">
        <v>123</v>
      </c>
      <c r="C1235" s="312" t="s">
        <v>1007</v>
      </c>
      <c r="D1235" s="314">
        <v>2250</v>
      </c>
      <c r="E1235" s="313" t="s">
        <v>2297</v>
      </c>
      <c r="F1235" s="315" t="str">
        <f>IF(IF(A1235="","",COUNTIF(CONSOLIDADO!$A:$A,$A1235))=0,"REVISAR","OK")</f>
        <v>OK</v>
      </c>
    </row>
    <row r="1236" spans="1:6" x14ac:dyDescent="0.2">
      <c r="A1236" s="312" t="s">
        <v>1084</v>
      </c>
      <c r="B1236" s="313" t="s">
        <v>123</v>
      </c>
      <c r="C1236" s="312" t="s">
        <v>1007</v>
      </c>
      <c r="D1236" s="314">
        <v>4165</v>
      </c>
      <c r="E1236" s="313" t="s">
        <v>939</v>
      </c>
      <c r="F1236" s="315" t="str">
        <f>IF(IF(A1236="","",COUNTIF(CONSOLIDADO!$A:$A,$A1236))=0,"REVISAR","OK")</f>
        <v>OK</v>
      </c>
    </row>
    <row r="1237" spans="1:6" x14ac:dyDescent="0.2">
      <c r="A1237" s="312" t="s">
        <v>1084</v>
      </c>
      <c r="B1237" s="313" t="s">
        <v>123</v>
      </c>
      <c r="C1237" s="312" t="s">
        <v>1007</v>
      </c>
      <c r="D1237" s="314">
        <v>6307</v>
      </c>
      <c r="E1237" s="313" t="s">
        <v>2233</v>
      </c>
      <c r="F1237" s="315" t="str">
        <f>IF(IF(A1237="","",COUNTIF(CONSOLIDADO!$A:$A,$A1237))=0,"REVISAR","OK")</f>
        <v>OK</v>
      </c>
    </row>
    <row r="1238" spans="1:6" x14ac:dyDescent="0.2">
      <c r="A1238" s="312" t="s">
        <v>1084</v>
      </c>
      <c r="B1238" s="313" t="s">
        <v>123</v>
      </c>
      <c r="C1238" s="312" t="s">
        <v>1007</v>
      </c>
      <c r="D1238" s="314">
        <v>9100</v>
      </c>
      <c r="E1238" s="313" t="s">
        <v>2073</v>
      </c>
      <c r="F1238" s="315" t="str">
        <f>IF(IF(A1238="","",COUNTIF(CONSOLIDADO!$A:$A,$A1238))=0,"REVISAR","OK")</f>
        <v>OK</v>
      </c>
    </row>
    <row r="1239" spans="1:6" x14ac:dyDescent="0.2">
      <c r="A1239" s="312" t="s">
        <v>1431</v>
      </c>
      <c r="B1239" s="313" t="s">
        <v>1432</v>
      </c>
      <c r="C1239" s="312" t="s">
        <v>15</v>
      </c>
      <c r="D1239" s="314">
        <v>33800</v>
      </c>
      <c r="E1239" s="313" t="s">
        <v>944</v>
      </c>
      <c r="F1239" s="315" t="str">
        <f>IF(IF(A1239="","",COUNTIF(CONSOLIDADO!$A:$A,$A1239))=0,"REVISAR","OK")</f>
        <v>OK</v>
      </c>
    </row>
    <row r="1240" spans="1:6" x14ac:dyDescent="0.2">
      <c r="A1240" s="312" t="s">
        <v>1431</v>
      </c>
      <c r="B1240" s="313" t="s">
        <v>1432</v>
      </c>
      <c r="C1240" s="312" t="s">
        <v>15</v>
      </c>
      <c r="D1240" s="314">
        <v>38000</v>
      </c>
      <c r="E1240" s="313" t="s">
        <v>936</v>
      </c>
      <c r="F1240" s="315" t="str">
        <f>IF(IF(A1240="","",COUNTIF(CONSOLIDADO!$A:$A,$A1240))=0,"REVISAR","OK")</f>
        <v>OK</v>
      </c>
    </row>
    <row r="1241" spans="1:6" x14ac:dyDescent="0.2">
      <c r="A1241" s="312" t="s">
        <v>838</v>
      </c>
      <c r="B1241" s="313" t="s">
        <v>582</v>
      </c>
      <c r="C1241" s="312" t="s">
        <v>111</v>
      </c>
      <c r="D1241" s="314">
        <v>530</v>
      </c>
      <c r="E1241" s="313" t="s">
        <v>943</v>
      </c>
      <c r="F1241" s="315" t="str">
        <f>IF(IF(A1241="","",COUNTIF(CONSOLIDADO!$A:$A,$A1241))=0,"REVISAR","OK")</f>
        <v>OK</v>
      </c>
    </row>
    <row r="1242" spans="1:6" x14ac:dyDescent="0.2">
      <c r="A1242" s="312" t="s">
        <v>838</v>
      </c>
      <c r="B1242" s="313" t="s">
        <v>582</v>
      </c>
      <c r="C1242" s="312" t="s">
        <v>111</v>
      </c>
      <c r="D1242" s="314">
        <v>535</v>
      </c>
      <c r="E1242" s="313" t="s">
        <v>982</v>
      </c>
      <c r="F1242" s="315" t="str">
        <f>IF(IF(A1242="","",COUNTIF(CONSOLIDADO!$A:$A,$A1242))=0,"REVISAR","OK")</f>
        <v>OK</v>
      </c>
    </row>
    <row r="1243" spans="1:6" x14ac:dyDescent="0.2">
      <c r="A1243" s="312" t="s">
        <v>838</v>
      </c>
      <c r="B1243" s="313" t="s">
        <v>582</v>
      </c>
      <c r="C1243" s="312" t="s">
        <v>111</v>
      </c>
      <c r="D1243" s="314">
        <v>571</v>
      </c>
      <c r="E1243" s="313" t="s">
        <v>939</v>
      </c>
      <c r="F1243" s="315" t="str">
        <f>IF(IF(A1243="","",COUNTIF(CONSOLIDADO!$A:$A,$A1243))=0,"REVISAR","OK")</f>
        <v>OK</v>
      </c>
    </row>
    <row r="1244" spans="1:6" x14ac:dyDescent="0.2">
      <c r="A1244" s="312" t="s">
        <v>838</v>
      </c>
      <c r="B1244" s="313" t="s">
        <v>582</v>
      </c>
      <c r="C1244" s="312" t="s">
        <v>111</v>
      </c>
      <c r="D1244" s="314">
        <v>590</v>
      </c>
      <c r="E1244" s="313" t="s">
        <v>943</v>
      </c>
      <c r="F1244" s="315" t="str">
        <f>IF(IF(A1244="","",COUNTIF(CONSOLIDADO!$A:$A,$A1244))=0,"REVISAR","OK")</f>
        <v>OK</v>
      </c>
    </row>
    <row r="1245" spans="1:6" x14ac:dyDescent="0.2">
      <c r="A1245" s="312" t="s">
        <v>838</v>
      </c>
      <c r="B1245" s="313" t="s">
        <v>582</v>
      </c>
      <c r="C1245" s="312" t="s">
        <v>111</v>
      </c>
      <c r="D1245" s="314">
        <v>610</v>
      </c>
      <c r="E1245" s="313" t="s">
        <v>944</v>
      </c>
      <c r="F1245" s="315" t="str">
        <f>IF(IF(A1245="","",COUNTIF(CONSOLIDADO!$A:$A,$A1245))=0,"REVISAR","OK")</f>
        <v>OK</v>
      </c>
    </row>
    <row r="1246" spans="1:6" x14ac:dyDescent="0.2">
      <c r="A1246" s="312" t="s">
        <v>838</v>
      </c>
      <c r="B1246" s="313" t="s">
        <v>582</v>
      </c>
      <c r="C1246" s="312" t="s">
        <v>111</v>
      </c>
      <c r="D1246" s="314">
        <v>622</v>
      </c>
      <c r="E1246" s="313" t="s">
        <v>2233</v>
      </c>
      <c r="F1246" s="315" t="str">
        <f>IF(IF(A1246="","",COUNTIF(CONSOLIDADO!$A:$A,$A1246))=0,"REVISAR","OK")</f>
        <v>OK</v>
      </c>
    </row>
    <row r="1247" spans="1:6" x14ac:dyDescent="0.2">
      <c r="A1247" s="312" t="s">
        <v>838</v>
      </c>
      <c r="B1247" s="313" t="s">
        <v>582</v>
      </c>
      <c r="C1247" s="312" t="s">
        <v>111</v>
      </c>
      <c r="D1247" s="314">
        <v>634</v>
      </c>
      <c r="E1247" s="313" t="s">
        <v>937</v>
      </c>
      <c r="F1247" s="315" t="str">
        <f>IF(IF(A1247="","",COUNTIF(CONSOLIDADO!$A:$A,$A1247))=0,"REVISAR","OK")</f>
        <v>OK</v>
      </c>
    </row>
    <row r="1248" spans="1:6" x14ac:dyDescent="0.2">
      <c r="A1248" s="312" t="s">
        <v>838</v>
      </c>
      <c r="B1248" s="313" t="s">
        <v>582</v>
      </c>
      <c r="C1248" s="312" t="s">
        <v>111</v>
      </c>
      <c r="D1248" s="314">
        <v>634</v>
      </c>
      <c r="E1248" s="313" t="s">
        <v>937</v>
      </c>
      <c r="F1248" s="315" t="str">
        <f>IF(IF(A1248="","",COUNTIF(CONSOLIDADO!$A:$A,$A1248))=0,"REVISAR","OK")</f>
        <v>OK</v>
      </c>
    </row>
    <row r="1249" spans="1:6" x14ac:dyDescent="0.2">
      <c r="A1249" s="312" t="s">
        <v>838</v>
      </c>
      <c r="B1249" s="313" t="s">
        <v>582</v>
      </c>
      <c r="C1249" s="312" t="s">
        <v>111</v>
      </c>
      <c r="D1249" s="314">
        <v>690</v>
      </c>
      <c r="E1249" s="313" t="s">
        <v>2176</v>
      </c>
      <c r="F1249" s="315" t="str">
        <f>IF(IF(A1249="","",COUNTIF(CONSOLIDADO!$A:$A,$A1249))=0,"REVISAR","OK")</f>
        <v>OK</v>
      </c>
    </row>
    <row r="1250" spans="1:6" x14ac:dyDescent="0.2">
      <c r="A1250" s="312" t="s">
        <v>838</v>
      </c>
      <c r="B1250" s="313" t="s">
        <v>582</v>
      </c>
      <c r="C1250" s="312" t="s">
        <v>111</v>
      </c>
      <c r="D1250" s="314">
        <v>712</v>
      </c>
      <c r="E1250" s="313" t="s">
        <v>935</v>
      </c>
      <c r="F1250" s="315" t="str">
        <f>IF(IF(A1250="","",COUNTIF(CONSOLIDADO!$A:$A,$A1250))=0,"REVISAR","OK")</f>
        <v>OK</v>
      </c>
    </row>
    <row r="1251" spans="1:6" x14ac:dyDescent="0.2">
      <c r="A1251" s="312" t="s">
        <v>838</v>
      </c>
      <c r="B1251" s="313" t="s">
        <v>582</v>
      </c>
      <c r="C1251" s="312" t="s">
        <v>111</v>
      </c>
      <c r="D1251" s="314">
        <v>713</v>
      </c>
      <c r="E1251" s="313" t="s">
        <v>935</v>
      </c>
      <c r="F1251" s="315" t="str">
        <f>IF(IF(A1251="","",COUNTIF(CONSOLIDADO!$A:$A,$A1251))=0,"REVISAR","OK")</f>
        <v>OK</v>
      </c>
    </row>
    <row r="1252" spans="1:6" x14ac:dyDescent="0.2">
      <c r="A1252" s="312" t="s">
        <v>838</v>
      </c>
      <c r="B1252" s="313" t="s">
        <v>582</v>
      </c>
      <c r="C1252" s="312" t="s">
        <v>111</v>
      </c>
      <c r="D1252" s="314">
        <v>898</v>
      </c>
      <c r="E1252" s="313" t="s">
        <v>949</v>
      </c>
      <c r="F1252" s="315" t="str">
        <f>IF(IF(A1252="","",COUNTIF(CONSOLIDADO!$A:$A,$A1252))=0,"REVISAR","OK")</f>
        <v>OK</v>
      </c>
    </row>
    <row r="1253" spans="1:6" x14ac:dyDescent="0.2">
      <c r="A1253" s="312" t="s">
        <v>838</v>
      </c>
      <c r="B1253" s="313" t="s">
        <v>582</v>
      </c>
      <c r="C1253" s="312" t="s">
        <v>111</v>
      </c>
      <c r="D1253" s="314">
        <v>928</v>
      </c>
      <c r="E1253" s="313" t="s">
        <v>2146</v>
      </c>
      <c r="F1253" s="315" t="str">
        <f>IF(IF(A1253="","",COUNTIF(CONSOLIDADO!$A:$A,$A1253))=0,"REVISAR","OK")</f>
        <v>OK</v>
      </c>
    </row>
    <row r="1254" spans="1:6" x14ac:dyDescent="0.2">
      <c r="A1254" s="312" t="s">
        <v>838</v>
      </c>
      <c r="B1254" s="313" t="s">
        <v>582</v>
      </c>
      <c r="C1254" s="312" t="s">
        <v>111</v>
      </c>
      <c r="D1254" s="314">
        <v>1000</v>
      </c>
      <c r="E1254" s="313" t="s">
        <v>2274</v>
      </c>
      <c r="F1254" s="315" t="str">
        <f>IF(IF(A1254="","",COUNTIF(CONSOLIDADO!$A:$A,$A1254))=0,"REVISAR","OK")</f>
        <v>OK</v>
      </c>
    </row>
    <row r="1255" spans="1:6" x14ac:dyDescent="0.2">
      <c r="A1255" s="312" t="s">
        <v>838</v>
      </c>
      <c r="B1255" s="313" t="s">
        <v>582</v>
      </c>
      <c r="C1255" s="312" t="s">
        <v>111</v>
      </c>
      <c r="D1255" s="314">
        <v>1090</v>
      </c>
      <c r="E1255" s="313" t="s">
        <v>944</v>
      </c>
      <c r="F1255" s="315" t="str">
        <f>IF(IF(A1255="","",COUNTIF(CONSOLIDADO!$A:$A,$A1255))=0,"REVISAR","OK")</f>
        <v>OK</v>
      </c>
    </row>
    <row r="1256" spans="1:6" x14ac:dyDescent="0.2">
      <c r="A1256" s="312" t="s">
        <v>838</v>
      </c>
      <c r="B1256" s="313" t="s">
        <v>582</v>
      </c>
      <c r="C1256" s="312" t="s">
        <v>111</v>
      </c>
      <c r="D1256" s="314">
        <v>1100</v>
      </c>
      <c r="E1256" s="313" t="s">
        <v>944</v>
      </c>
      <c r="F1256" s="315" t="str">
        <f>IF(IF(A1256="","",COUNTIF(CONSOLIDADO!$A:$A,$A1256))=0,"REVISAR","OK")</f>
        <v>OK</v>
      </c>
    </row>
    <row r="1257" spans="1:6" x14ac:dyDescent="0.2">
      <c r="A1257" s="312" t="s">
        <v>838</v>
      </c>
      <c r="B1257" s="313" t="s">
        <v>582</v>
      </c>
      <c r="C1257" s="312" t="s">
        <v>111</v>
      </c>
      <c r="D1257" s="314">
        <v>1210</v>
      </c>
      <c r="E1257" s="313" t="s">
        <v>944</v>
      </c>
      <c r="F1257" s="315" t="str">
        <f>IF(IF(A1257="","",COUNTIF(CONSOLIDADO!$A:$A,$A1257))=0,"REVISAR","OK")</f>
        <v>OK</v>
      </c>
    </row>
    <row r="1258" spans="1:6" x14ac:dyDescent="0.2">
      <c r="A1258" s="312" t="s">
        <v>838</v>
      </c>
      <c r="B1258" s="313" t="s">
        <v>582</v>
      </c>
      <c r="C1258" s="312" t="s">
        <v>111</v>
      </c>
      <c r="D1258" s="314">
        <v>1390</v>
      </c>
      <c r="E1258" s="313" t="s">
        <v>944</v>
      </c>
      <c r="F1258" s="315" t="str">
        <f>IF(IF(A1258="","",COUNTIF(CONSOLIDADO!$A:$A,$A1258))=0,"REVISAR","OK")</f>
        <v>OK</v>
      </c>
    </row>
    <row r="1259" spans="1:6" x14ac:dyDescent="0.2">
      <c r="A1259" s="312" t="s">
        <v>838</v>
      </c>
      <c r="B1259" s="313" t="s">
        <v>582</v>
      </c>
      <c r="C1259" s="312" t="s">
        <v>111</v>
      </c>
      <c r="D1259" s="314">
        <v>1800</v>
      </c>
      <c r="E1259" s="313" t="s">
        <v>974</v>
      </c>
      <c r="F1259" s="315" t="str">
        <f>IF(IF(A1259="","",COUNTIF(CONSOLIDADO!$A:$A,$A1259))=0,"REVISAR","OK")</f>
        <v>OK</v>
      </c>
    </row>
    <row r="1260" spans="1:6" x14ac:dyDescent="0.2">
      <c r="A1260" s="312" t="s">
        <v>165</v>
      </c>
      <c r="B1260" s="313" t="s">
        <v>164</v>
      </c>
      <c r="C1260" s="312" t="s">
        <v>947</v>
      </c>
      <c r="D1260" s="314">
        <v>1258</v>
      </c>
      <c r="E1260" s="313" t="s">
        <v>934</v>
      </c>
      <c r="F1260" s="315" t="str">
        <f>IF(IF(A1260="","",COUNTIF(CONSOLIDADO!$A:$A,$A1260))=0,"REVISAR","OK")</f>
        <v>OK</v>
      </c>
    </row>
    <row r="1261" spans="1:6" x14ac:dyDescent="0.2">
      <c r="A1261" s="312" t="s">
        <v>165</v>
      </c>
      <c r="B1261" s="313" t="s">
        <v>164</v>
      </c>
      <c r="C1261" s="312" t="s">
        <v>947</v>
      </c>
      <c r="D1261" s="314">
        <v>2982</v>
      </c>
      <c r="E1261" s="313" t="s">
        <v>2238</v>
      </c>
      <c r="F1261" s="315" t="str">
        <f>IF(IF(A1261="","",COUNTIF(CONSOLIDADO!$A:$A,$A1261))=0,"REVISAR","OK")</f>
        <v>OK</v>
      </c>
    </row>
    <row r="1262" spans="1:6" x14ac:dyDescent="0.2">
      <c r="A1262" s="312" t="s">
        <v>1085</v>
      </c>
      <c r="B1262" s="313" t="s">
        <v>1086</v>
      </c>
      <c r="C1262" s="312" t="s">
        <v>111</v>
      </c>
      <c r="D1262" s="314">
        <v>1666</v>
      </c>
      <c r="E1262" s="313" t="s">
        <v>939</v>
      </c>
      <c r="F1262" s="315" t="str">
        <f>IF(IF(A1262="","",COUNTIF(CONSOLIDADO!$A:$A,$A1262))=0,"REVISAR","OK")</f>
        <v>OK</v>
      </c>
    </row>
    <row r="1263" spans="1:6" x14ac:dyDescent="0.2">
      <c r="A1263" s="312" t="s">
        <v>1085</v>
      </c>
      <c r="B1263" s="313" t="s">
        <v>1086</v>
      </c>
      <c r="C1263" s="312" t="s">
        <v>111</v>
      </c>
      <c r="D1263" s="314">
        <v>1984</v>
      </c>
      <c r="E1263" s="313" t="s">
        <v>932</v>
      </c>
      <c r="F1263" s="315" t="str">
        <f>IF(IF(A1263="","",COUNTIF(CONSOLIDADO!$A:$A,$A1263))=0,"REVISAR","OK")</f>
        <v>OK</v>
      </c>
    </row>
    <row r="1264" spans="1:6" x14ac:dyDescent="0.2">
      <c r="A1264" s="312" t="s">
        <v>1085</v>
      </c>
      <c r="B1264" s="313" t="s">
        <v>1086</v>
      </c>
      <c r="C1264" s="312" t="s">
        <v>111</v>
      </c>
      <c r="D1264" s="314">
        <v>2096</v>
      </c>
      <c r="E1264" s="313" t="s">
        <v>931</v>
      </c>
      <c r="F1264" s="315" t="str">
        <f>IF(IF(A1264="","",COUNTIF(CONSOLIDADO!$A:$A,$A1264))=0,"REVISAR","OK")</f>
        <v>OK</v>
      </c>
    </row>
    <row r="1265" spans="1:6" x14ac:dyDescent="0.2">
      <c r="A1265" s="312" t="s">
        <v>1085</v>
      </c>
      <c r="B1265" s="313" t="s">
        <v>1086</v>
      </c>
      <c r="C1265" s="312" t="s">
        <v>111</v>
      </c>
      <c r="D1265" s="314">
        <v>2097</v>
      </c>
      <c r="E1265" s="313" t="s">
        <v>950</v>
      </c>
      <c r="F1265" s="315" t="str">
        <f>IF(IF(A1265="","",COUNTIF(CONSOLIDADO!$A:$A,$A1265))=0,"REVISAR","OK")</f>
        <v>OK</v>
      </c>
    </row>
    <row r="1266" spans="1:6" x14ac:dyDescent="0.2">
      <c r="A1266" s="312" t="s">
        <v>830</v>
      </c>
      <c r="B1266" s="313" t="s">
        <v>1011</v>
      </c>
      <c r="C1266" s="312" t="s">
        <v>906</v>
      </c>
      <c r="D1266" s="314">
        <v>2000</v>
      </c>
      <c r="E1266" s="313" t="s">
        <v>951</v>
      </c>
      <c r="F1266" s="315" t="str">
        <f>IF(IF(A1266="","",COUNTIF(CONSOLIDADO!$A:$A,$A1266))=0,"REVISAR","OK")</f>
        <v>OK</v>
      </c>
    </row>
    <row r="1267" spans="1:6" x14ac:dyDescent="0.2">
      <c r="A1267" s="312" t="s">
        <v>830</v>
      </c>
      <c r="B1267" s="313" t="s">
        <v>1011</v>
      </c>
      <c r="C1267" s="312" t="s">
        <v>906</v>
      </c>
      <c r="D1267" s="314">
        <v>2100</v>
      </c>
      <c r="E1267" s="313" t="s">
        <v>943</v>
      </c>
      <c r="F1267" s="315" t="str">
        <f>IF(IF(A1267="","",COUNTIF(CONSOLIDADO!$A:$A,$A1267))=0,"REVISAR","OK")</f>
        <v>OK</v>
      </c>
    </row>
    <row r="1268" spans="1:6" x14ac:dyDescent="0.2">
      <c r="A1268" s="312" t="s">
        <v>830</v>
      </c>
      <c r="B1268" s="313" t="s">
        <v>1011</v>
      </c>
      <c r="C1268" s="312" t="s">
        <v>906</v>
      </c>
      <c r="D1268" s="314">
        <v>2285</v>
      </c>
      <c r="E1268" s="313" t="s">
        <v>2258</v>
      </c>
      <c r="F1268" s="315" t="str">
        <f>IF(IF(A1268="","",COUNTIF(CONSOLIDADO!$A:$A,$A1268))=0,"REVISAR","OK")</f>
        <v>OK</v>
      </c>
    </row>
    <row r="1269" spans="1:6" x14ac:dyDescent="0.2">
      <c r="A1269" s="312" t="s">
        <v>830</v>
      </c>
      <c r="B1269" s="313" t="s">
        <v>1011</v>
      </c>
      <c r="C1269" s="312" t="s">
        <v>906</v>
      </c>
      <c r="D1269" s="314">
        <v>2950</v>
      </c>
      <c r="E1269" s="313" t="s">
        <v>938</v>
      </c>
      <c r="F1269" s="315" t="str">
        <f>IF(IF(A1269="","",COUNTIF(CONSOLIDADO!$A:$A,$A1269))=0,"REVISAR","OK")</f>
        <v>OK</v>
      </c>
    </row>
    <row r="1270" spans="1:6" x14ac:dyDescent="0.2">
      <c r="A1270" s="312" t="s">
        <v>830</v>
      </c>
      <c r="B1270" s="313" t="s">
        <v>1011</v>
      </c>
      <c r="C1270" s="312" t="s">
        <v>906</v>
      </c>
      <c r="D1270" s="314">
        <v>4500</v>
      </c>
      <c r="E1270" s="313" t="s">
        <v>946</v>
      </c>
      <c r="F1270" s="315" t="str">
        <f>IF(IF(A1270="","",COUNTIF(CONSOLIDADO!$A:$A,$A1270))=0,"REVISAR","OK")</f>
        <v>OK</v>
      </c>
    </row>
    <row r="1271" spans="1:6" x14ac:dyDescent="0.2">
      <c r="A1271" s="312" t="s">
        <v>830</v>
      </c>
      <c r="B1271" s="313" t="s">
        <v>1011</v>
      </c>
      <c r="C1271" s="312" t="s">
        <v>906</v>
      </c>
      <c r="D1271" s="314">
        <v>4500</v>
      </c>
      <c r="E1271" s="313" t="s">
        <v>936</v>
      </c>
      <c r="F1271" s="315" t="str">
        <f>IF(IF(A1271="","",COUNTIF(CONSOLIDADO!$A:$A,$A1271))=0,"REVISAR","OK")</f>
        <v>OK</v>
      </c>
    </row>
    <row r="1272" spans="1:6" x14ac:dyDescent="0.2">
      <c r="A1272" s="312" t="s">
        <v>705</v>
      </c>
      <c r="B1272" s="313" t="s">
        <v>524</v>
      </c>
      <c r="C1272" s="312" t="s">
        <v>111</v>
      </c>
      <c r="D1272" s="314">
        <v>162</v>
      </c>
      <c r="E1272" s="313" t="s">
        <v>935</v>
      </c>
      <c r="F1272" s="315" t="str">
        <f>IF(IF(A1272="","",COUNTIF(CONSOLIDADO!$A:$A,$A1272))=0,"REVISAR","OK")</f>
        <v>OK</v>
      </c>
    </row>
    <row r="1273" spans="1:6" x14ac:dyDescent="0.2">
      <c r="A1273" s="312" t="s">
        <v>705</v>
      </c>
      <c r="B1273" s="313" t="s">
        <v>524</v>
      </c>
      <c r="C1273" s="312" t="s">
        <v>111</v>
      </c>
      <c r="D1273" s="314">
        <v>202</v>
      </c>
      <c r="E1273" s="313" t="s">
        <v>982</v>
      </c>
      <c r="F1273" s="315" t="str">
        <f>IF(IF(A1273="","",COUNTIF(CONSOLIDADO!$A:$A,$A1273))=0,"REVISAR","OK")</f>
        <v>OK</v>
      </c>
    </row>
    <row r="1274" spans="1:6" x14ac:dyDescent="0.2">
      <c r="A1274" s="312" t="s">
        <v>1444</v>
      </c>
      <c r="B1274" s="313" t="s">
        <v>1445</v>
      </c>
      <c r="C1274" s="312" t="s">
        <v>15</v>
      </c>
      <c r="D1274" s="314">
        <v>13542</v>
      </c>
      <c r="E1274" s="313" t="s">
        <v>2233</v>
      </c>
      <c r="F1274" s="315" t="str">
        <f>IF(IF(A1274="","",COUNTIF(CONSOLIDADO!$A:$A,$A1274))=0,"REVISAR","OK")</f>
        <v>OK</v>
      </c>
    </row>
    <row r="1275" spans="1:6" x14ac:dyDescent="0.2">
      <c r="A1275" s="312" t="s">
        <v>780</v>
      </c>
      <c r="B1275" s="313" t="s">
        <v>558</v>
      </c>
      <c r="C1275" s="312" t="s">
        <v>111</v>
      </c>
      <c r="D1275" s="314">
        <v>547</v>
      </c>
      <c r="E1275" s="313" t="s">
        <v>936</v>
      </c>
      <c r="F1275" s="315" t="str">
        <f>IF(IF(A1275="","",COUNTIF(CONSOLIDADO!$A:$A,$A1275))=0,"REVISAR","OK")</f>
        <v>OK</v>
      </c>
    </row>
    <row r="1276" spans="1:6" x14ac:dyDescent="0.2">
      <c r="A1276" s="312" t="s">
        <v>2177</v>
      </c>
      <c r="B1276" s="313" t="s">
        <v>293</v>
      </c>
      <c r="C1276" s="312" t="s">
        <v>15</v>
      </c>
      <c r="D1276" s="314">
        <v>3500</v>
      </c>
      <c r="E1276" s="313" t="s">
        <v>936</v>
      </c>
      <c r="F1276" s="315" t="str">
        <f>IF(IF(A1276="","",COUNTIF(CONSOLIDADO!$A:$A,$A1276))=0,"REVISAR","OK")</f>
        <v>OK</v>
      </c>
    </row>
    <row r="1277" spans="1:6" x14ac:dyDescent="0.2">
      <c r="A1277" s="312" t="s">
        <v>1087</v>
      </c>
      <c r="B1277" s="313" t="s">
        <v>529</v>
      </c>
      <c r="C1277" s="312" t="s">
        <v>906</v>
      </c>
      <c r="D1277" s="314">
        <v>1785</v>
      </c>
      <c r="E1277" s="313" t="s">
        <v>982</v>
      </c>
      <c r="F1277" s="315" t="str">
        <f>IF(IF(A1277="","",COUNTIF(CONSOLIDADO!$A:$A,$A1277))=0,"REVISAR","OK")</f>
        <v>OK</v>
      </c>
    </row>
    <row r="1278" spans="1:6" x14ac:dyDescent="0.2">
      <c r="A1278" s="312" t="s">
        <v>629</v>
      </c>
      <c r="B1278" s="313" t="s">
        <v>217</v>
      </c>
      <c r="C1278" s="312" t="s">
        <v>1007</v>
      </c>
      <c r="D1278" s="314">
        <v>7140</v>
      </c>
      <c r="E1278" s="313" t="s">
        <v>2258</v>
      </c>
      <c r="F1278" s="315" t="str">
        <f>IF(IF(A1278="","",COUNTIF(CONSOLIDADO!$A:$A,$A1278))=0,"REVISAR","OK")</f>
        <v>OK</v>
      </c>
    </row>
    <row r="1279" spans="1:6" x14ac:dyDescent="0.2">
      <c r="A1279" s="312" t="s">
        <v>844</v>
      </c>
      <c r="B1279" s="313" t="s">
        <v>495</v>
      </c>
      <c r="C1279" s="312" t="s">
        <v>1007</v>
      </c>
      <c r="D1279" s="314">
        <v>952</v>
      </c>
      <c r="E1279" s="313" t="s">
        <v>982</v>
      </c>
      <c r="F1279" s="315" t="str">
        <f>IF(IF(A1279="","",COUNTIF(CONSOLIDADO!$A:$A,$A1279))=0,"REVISAR","OK")</f>
        <v>OK</v>
      </c>
    </row>
    <row r="1280" spans="1:6" x14ac:dyDescent="0.2">
      <c r="A1280" s="312" t="s">
        <v>884</v>
      </c>
      <c r="B1280" s="313" t="s">
        <v>481</v>
      </c>
      <c r="C1280" s="312" t="s">
        <v>111</v>
      </c>
      <c r="D1280" s="314">
        <v>214</v>
      </c>
      <c r="E1280" s="313" t="s">
        <v>939</v>
      </c>
      <c r="F1280" s="315" t="str">
        <f>IF(IF(A1280="","",COUNTIF(CONSOLIDADO!$A:$A,$A1280))=0,"REVISAR","OK")</f>
        <v>OK</v>
      </c>
    </row>
    <row r="1281" spans="1:6" x14ac:dyDescent="0.2">
      <c r="A1281" s="312" t="s">
        <v>884</v>
      </c>
      <c r="B1281" s="313" t="s">
        <v>481</v>
      </c>
      <c r="C1281" s="312" t="s">
        <v>111</v>
      </c>
      <c r="D1281" s="314">
        <v>226</v>
      </c>
      <c r="E1281" s="313" t="s">
        <v>2258</v>
      </c>
      <c r="F1281" s="315" t="str">
        <f>IF(IF(A1281="","",COUNTIF(CONSOLIDADO!$A:$A,$A1281))=0,"REVISAR","OK")</f>
        <v>OK</v>
      </c>
    </row>
    <row r="1282" spans="1:6" x14ac:dyDescent="0.2">
      <c r="A1282" s="312" t="s">
        <v>884</v>
      </c>
      <c r="B1282" s="313" t="s">
        <v>481</v>
      </c>
      <c r="C1282" s="312" t="s">
        <v>111</v>
      </c>
      <c r="D1282" s="314">
        <v>251</v>
      </c>
      <c r="E1282" s="313" t="s">
        <v>950</v>
      </c>
      <c r="F1282" s="315" t="str">
        <f>IF(IF(A1282="","",COUNTIF(CONSOLIDADO!$A:$A,$A1282))=0,"REVISAR","OK")</f>
        <v>OK</v>
      </c>
    </row>
    <row r="1283" spans="1:6" x14ac:dyDescent="0.2">
      <c r="A1283" s="312" t="s">
        <v>884</v>
      </c>
      <c r="B1283" s="313" t="s">
        <v>481</v>
      </c>
      <c r="C1283" s="312" t="s">
        <v>111</v>
      </c>
      <c r="D1283" s="314">
        <v>266</v>
      </c>
      <c r="E1283" s="313" t="s">
        <v>2233</v>
      </c>
      <c r="F1283" s="315" t="str">
        <f>IF(IF(A1283="","",COUNTIF(CONSOLIDADO!$A:$A,$A1283))=0,"REVISAR","OK")</f>
        <v>OK</v>
      </c>
    </row>
    <row r="1284" spans="1:6" x14ac:dyDescent="0.2">
      <c r="A1284" s="312" t="s">
        <v>884</v>
      </c>
      <c r="B1284" s="313" t="s">
        <v>481</v>
      </c>
      <c r="C1284" s="312" t="s">
        <v>111</v>
      </c>
      <c r="D1284" s="314">
        <v>266</v>
      </c>
      <c r="E1284" s="313" t="s">
        <v>2233</v>
      </c>
      <c r="F1284" s="315" t="str">
        <f>IF(IF(A1284="","",COUNTIF(CONSOLIDADO!$A:$A,$A1284))=0,"REVISAR","OK")</f>
        <v>OK</v>
      </c>
    </row>
    <row r="1285" spans="1:6" x14ac:dyDescent="0.2">
      <c r="A1285" s="312" t="s">
        <v>884</v>
      </c>
      <c r="B1285" s="313" t="s">
        <v>481</v>
      </c>
      <c r="C1285" s="312" t="s">
        <v>111</v>
      </c>
      <c r="D1285" s="314">
        <v>330</v>
      </c>
      <c r="E1285" s="313" t="s">
        <v>948</v>
      </c>
      <c r="F1285" s="315" t="str">
        <f>IF(IF(A1285="","",COUNTIF(CONSOLIDADO!$A:$A,$A1285))=0,"REVISAR","OK")</f>
        <v>OK</v>
      </c>
    </row>
    <row r="1286" spans="1:6" x14ac:dyDescent="0.2">
      <c r="A1286" s="312" t="s">
        <v>2330</v>
      </c>
      <c r="B1286" s="313" t="s">
        <v>2331</v>
      </c>
      <c r="C1286" s="312" t="s">
        <v>906</v>
      </c>
      <c r="D1286" s="314">
        <v>1095</v>
      </c>
      <c r="E1286" s="313" t="s">
        <v>2233</v>
      </c>
      <c r="F1286" s="315" t="str">
        <f>IF(IF(A1286="","",COUNTIF(CONSOLIDADO!$A:$A,$A1286))=0,"REVISAR","OK")</f>
        <v>OK</v>
      </c>
    </row>
    <row r="1287" spans="1:6" x14ac:dyDescent="0.2">
      <c r="A1287" s="312" t="s">
        <v>755</v>
      </c>
      <c r="B1287" s="313" t="s">
        <v>444</v>
      </c>
      <c r="C1287" s="312" t="s">
        <v>906</v>
      </c>
      <c r="D1287" s="314">
        <v>595</v>
      </c>
      <c r="E1287" s="313" t="s">
        <v>948</v>
      </c>
      <c r="F1287" s="315" t="str">
        <f>IF(IF(A1287="","",COUNTIF(CONSOLIDADO!$A:$A,$A1287))=0,"REVISAR","OK")</f>
        <v>OK</v>
      </c>
    </row>
    <row r="1288" spans="1:6" x14ac:dyDescent="0.2">
      <c r="A1288" s="312" t="s">
        <v>1454</v>
      </c>
      <c r="B1288" s="313" t="s">
        <v>1455</v>
      </c>
      <c r="C1288" s="312" t="s">
        <v>15</v>
      </c>
      <c r="D1288" s="314">
        <v>4984</v>
      </c>
      <c r="E1288" s="313" t="s">
        <v>2233</v>
      </c>
      <c r="F1288" s="315" t="str">
        <f>IF(IF(A1288="","",COUNTIF(CONSOLIDADO!$A:$A,$A1288))=0,"REVISAR","OK")</f>
        <v>OK</v>
      </c>
    </row>
    <row r="1289" spans="1:6" x14ac:dyDescent="0.2">
      <c r="A1289" s="312" t="s">
        <v>1088</v>
      </c>
      <c r="B1289" s="313" t="s">
        <v>1089</v>
      </c>
      <c r="C1289" s="312" t="s">
        <v>111</v>
      </c>
      <c r="D1289" s="314">
        <v>22990</v>
      </c>
      <c r="E1289" s="313" t="s">
        <v>2297</v>
      </c>
      <c r="F1289" s="315" t="str">
        <f>IF(IF(A1289="","",COUNTIF(CONSOLIDADO!$A:$A,$A1289))=0,"REVISAR","OK")</f>
        <v>OK</v>
      </c>
    </row>
    <row r="1290" spans="1:6" x14ac:dyDescent="0.2">
      <c r="A1290" s="312" t="s">
        <v>1088</v>
      </c>
      <c r="B1290" s="313" t="s">
        <v>1089</v>
      </c>
      <c r="C1290" s="312" t="s">
        <v>111</v>
      </c>
      <c r="D1290" s="314">
        <v>24000</v>
      </c>
      <c r="E1290" s="313" t="s">
        <v>931</v>
      </c>
      <c r="F1290" s="315" t="str">
        <f>IF(IF(A1290="","",COUNTIF(CONSOLIDADO!$A:$A,$A1290))=0,"REVISAR","OK")</f>
        <v>OK</v>
      </c>
    </row>
    <row r="1291" spans="1:6" x14ac:dyDescent="0.2">
      <c r="A1291" s="312" t="s">
        <v>1088</v>
      </c>
      <c r="B1291" s="313" t="s">
        <v>1089</v>
      </c>
      <c r="C1291" s="312" t="s">
        <v>111</v>
      </c>
      <c r="D1291" s="314">
        <v>30000</v>
      </c>
      <c r="E1291" s="313" t="s">
        <v>946</v>
      </c>
      <c r="F1291" s="315" t="str">
        <f>IF(IF(A1291="","",COUNTIF(CONSOLIDADO!$A:$A,$A1291))=0,"REVISAR","OK")</f>
        <v>OK</v>
      </c>
    </row>
    <row r="1292" spans="1:6" x14ac:dyDescent="0.2">
      <c r="A1292" s="312" t="s">
        <v>1088</v>
      </c>
      <c r="B1292" s="313" t="s">
        <v>1089</v>
      </c>
      <c r="C1292" s="312" t="s">
        <v>111</v>
      </c>
      <c r="D1292" s="314">
        <v>30000</v>
      </c>
      <c r="E1292" s="313" t="s">
        <v>931</v>
      </c>
      <c r="F1292" s="315" t="str">
        <f>IF(IF(A1292="","",COUNTIF(CONSOLIDADO!$A:$A,$A1292))=0,"REVISAR","OK")</f>
        <v>OK</v>
      </c>
    </row>
    <row r="1293" spans="1:6" x14ac:dyDescent="0.2">
      <c r="A1293" s="312" t="s">
        <v>1088</v>
      </c>
      <c r="B1293" s="313" t="s">
        <v>1089</v>
      </c>
      <c r="C1293" s="312" t="s">
        <v>111</v>
      </c>
      <c r="D1293" s="314">
        <v>32000</v>
      </c>
      <c r="E1293" s="313" t="s">
        <v>936</v>
      </c>
      <c r="F1293" s="315" t="str">
        <f>IF(IF(A1293="","",COUNTIF(CONSOLIDADO!$A:$A,$A1293))=0,"REVISAR","OK")</f>
        <v>OK</v>
      </c>
    </row>
    <row r="1294" spans="1:6" x14ac:dyDescent="0.2">
      <c r="A1294" s="312" t="s">
        <v>1088</v>
      </c>
      <c r="B1294" s="313" t="s">
        <v>1089</v>
      </c>
      <c r="C1294" s="312" t="s">
        <v>111</v>
      </c>
      <c r="D1294" s="314">
        <v>33000</v>
      </c>
      <c r="E1294" s="313" t="s">
        <v>931</v>
      </c>
      <c r="F1294" s="315" t="str">
        <f>IF(IF(A1294="","",COUNTIF(CONSOLIDADO!$A:$A,$A1294))=0,"REVISAR","OK")</f>
        <v>OK</v>
      </c>
    </row>
    <row r="1295" spans="1:6" x14ac:dyDescent="0.2">
      <c r="A1295" s="312" t="s">
        <v>1088</v>
      </c>
      <c r="B1295" s="313" t="s">
        <v>1089</v>
      </c>
      <c r="C1295" s="312" t="s">
        <v>111</v>
      </c>
      <c r="D1295" s="314">
        <v>33000</v>
      </c>
      <c r="E1295" s="313" t="s">
        <v>944</v>
      </c>
      <c r="F1295" s="315" t="str">
        <f>IF(IF(A1295="","",COUNTIF(CONSOLIDADO!$A:$A,$A1295))=0,"REVISAR","OK")</f>
        <v>OK</v>
      </c>
    </row>
    <row r="1296" spans="1:6" x14ac:dyDescent="0.2">
      <c r="A1296" s="312" t="s">
        <v>1088</v>
      </c>
      <c r="B1296" s="313" t="s">
        <v>1089</v>
      </c>
      <c r="C1296" s="312" t="s">
        <v>111</v>
      </c>
      <c r="D1296" s="314">
        <v>33000</v>
      </c>
      <c r="E1296" s="313" t="s">
        <v>929</v>
      </c>
      <c r="F1296" s="315" t="str">
        <f>IF(IF(A1296="","",COUNTIF(CONSOLIDADO!$A:$A,$A1296))=0,"REVISAR","OK")</f>
        <v>OK</v>
      </c>
    </row>
    <row r="1297" spans="1:6" x14ac:dyDescent="0.2">
      <c r="A1297" s="312" t="s">
        <v>1088</v>
      </c>
      <c r="B1297" s="313" t="s">
        <v>1089</v>
      </c>
      <c r="C1297" s="312" t="s">
        <v>111</v>
      </c>
      <c r="D1297" s="314">
        <v>33000</v>
      </c>
      <c r="E1297" s="313" t="s">
        <v>936</v>
      </c>
      <c r="F1297" s="315" t="str">
        <f>IF(IF(A1297="","",COUNTIF(CONSOLIDADO!$A:$A,$A1297))=0,"REVISAR","OK")</f>
        <v>OK</v>
      </c>
    </row>
    <row r="1298" spans="1:6" x14ac:dyDescent="0.2">
      <c r="A1298" s="312" t="s">
        <v>1088</v>
      </c>
      <c r="B1298" s="313" t="s">
        <v>1089</v>
      </c>
      <c r="C1298" s="312" t="s">
        <v>111</v>
      </c>
      <c r="D1298" s="314">
        <v>33000</v>
      </c>
      <c r="E1298" s="313" t="s">
        <v>943</v>
      </c>
      <c r="F1298" s="315" t="str">
        <f>IF(IF(A1298="","",COUNTIF(CONSOLIDADO!$A:$A,$A1298))=0,"REVISAR","OK")</f>
        <v>OK</v>
      </c>
    </row>
    <row r="1299" spans="1:6" x14ac:dyDescent="0.2">
      <c r="A1299" s="312" t="s">
        <v>851</v>
      </c>
      <c r="B1299" s="313" t="s">
        <v>591</v>
      </c>
      <c r="C1299" s="312" t="s">
        <v>15</v>
      </c>
      <c r="D1299" s="314">
        <v>2000</v>
      </c>
      <c r="E1299" s="313" t="s">
        <v>938</v>
      </c>
      <c r="F1299" s="315" t="str">
        <f>IF(IF(A1299="","",COUNTIF(CONSOLIDADO!$A:$A,$A1299))=0,"REVISAR","OK")</f>
        <v>OK</v>
      </c>
    </row>
    <row r="1300" spans="1:6" x14ac:dyDescent="0.2">
      <c r="A1300" s="312" t="s">
        <v>851</v>
      </c>
      <c r="B1300" s="313" t="s">
        <v>591</v>
      </c>
      <c r="C1300" s="312" t="s">
        <v>15</v>
      </c>
      <c r="D1300" s="314">
        <v>2348</v>
      </c>
      <c r="E1300" s="313" t="s">
        <v>930</v>
      </c>
      <c r="F1300" s="315" t="str">
        <f>IF(IF(A1300="","",COUNTIF(CONSOLIDADO!$A:$A,$A1300))=0,"REVISAR","OK")</f>
        <v>OK</v>
      </c>
    </row>
    <row r="1301" spans="1:6" x14ac:dyDescent="0.2">
      <c r="A1301" s="312" t="s">
        <v>851</v>
      </c>
      <c r="B1301" s="313" t="s">
        <v>591</v>
      </c>
      <c r="C1301" s="312" t="s">
        <v>15</v>
      </c>
      <c r="D1301" s="314">
        <v>2975</v>
      </c>
      <c r="E1301" s="313" t="s">
        <v>982</v>
      </c>
      <c r="F1301" s="315" t="str">
        <f>IF(IF(A1301="","",COUNTIF(CONSOLIDADO!$A:$A,$A1301))=0,"REVISAR","OK")</f>
        <v>OK</v>
      </c>
    </row>
    <row r="1302" spans="1:6" x14ac:dyDescent="0.2">
      <c r="A1302" s="312" t="s">
        <v>851</v>
      </c>
      <c r="B1302" s="313" t="s">
        <v>591</v>
      </c>
      <c r="C1302" s="312" t="s">
        <v>15</v>
      </c>
      <c r="D1302" s="314">
        <v>3270</v>
      </c>
      <c r="E1302" s="313" t="s">
        <v>938</v>
      </c>
      <c r="F1302" s="315" t="str">
        <f>IF(IF(A1302="","",COUNTIF(CONSOLIDADO!$A:$A,$A1302))=0,"REVISAR","OK")</f>
        <v>OK</v>
      </c>
    </row>
    <row r="1303" spans="1:6" x14ac:dyDescent="0.2">
      <c r="A1303" s="312" t="s">
        <v>1090</v>
      </c>
      <c r="B1303" s="313" t="s">
        <v>504</v>
      </c>
      <c r="C1303" s="312" t="s">
        <v>1007</v>
      </c>
      <c r="D1303" s="314">
        <v>235</v>
      </c>
      <c r="E1303" s="313" t="s">
        <v>944</v>
      </c>
      <c r="F1303" s="315" t="str">
        <f>IF(IF(A1303="","",COUNTIF(CONSOLIDADO!$A:$A,$A1303))=0,"REVISAR","OK")</f>
        <v>OK</v>
      </c>
    </row>
    <row r="1304" spans="1:6" x14ac:dyDescent="0.2">
      <c r="A1304" s="312" t="s">
        <v>1090</v>
      </c>
      <c r="B1304" s="313" t="s">
        <v>504</v>
      </c>
      <c r="C1304" s="312" t="s">
        <v>1007</v>
      </c>
      <c r="D1304" s="314">
        <v>238</v>
      </c>
      <c r="E1304" s="313" t="s">
        <v>982</v>
      </c>
      <c r="F1304" s="315" t="str">
        <f>IF(IF(A1304="","",COUNTIF(CONSOLIDADO!$A:$A,$A1304))=0,"REVISAR","OK")</f>
        <v>OK</v>
      </c>
    </row>
    <row r="1305" spans="1:6" x14ac:dyDescent="0.2">
      <c r="A1305" s="312" t="s">
        <v>1090</v>
      </c>
      <c r="B1305" s="313" t="s">
        <v>504</v>
      </c>
      <c r="C1305" s="312" t="s">
        <v>1007</v>
      </c>
      <c r="D1305" s="314">
        <v>800</v>
      </c>
      <c r="E1305" s="313" t="s">
        <v>2073</v>
      </c>
      <c r="F1305" s="315" t="str">
        <f>IF(IF(A1305="","",COUNTIF(CONSOLIDADO!$A:$A,$A1305))=0,"REVISAR","OK")</f>
        <v>OK</v>
      </c>
    </row>
    <row r="1306" spans="1:6" x14ac:dyDescent="0.2">
      <c r="A1306" s="312" t="s">
        <v>1090</v>
      </c>
      <c r="B1306" s="313" t="s">
        <v>504</v>
      </c>
      <c r="C1306" s="312" t="s">
        <v>1007</v>
      </c>
      <c r="D1306" s="314">
        <v>1720</v>
      </c>
      <c r="E1306" s="313" t="s">
        <v>2297</v>
      </c>
      <c r="F1306" s="315" t="str">
        <f>IF(IF(A1306="","",COUNTIF(CONSOLIDADO!$A:$A,$A1306))=0,"REVISAR","OK")</f>
        <v>OK</v>
      </c>
    </row>
    <row r="1307" spans="1:6" x14ac:dyDescent="0.2">
      <c r="A1307" s="312" t="s">
        <v>1090</v>
      </c>
      <c r="B1307" s="313" t="s">
        <v>504</v>
      </c>
      <c r="C1307" s="312" t="s">
        <v>1007</v>
      </c>
      <c r="D1307" s="314">
        <v>2482</v>
      </c>
      <c r="E1307" s="313" t="s">
        <v>2238</v>
      </c>
      <c r="F1307" s="315" t="str">
        <f>IF(IF(A1307="","",COUNTIF(CONSOLIDADO!$A:$A,$A1307))=0,"REVISAR","OK")</f>
        <v>OK</v>
      </c>
    </row>
    <row r="1308" spans="1:6" x14ac:dyDescent="0.2">
      <c r="A1308" s="312" t="s">
        <v>630</v>
      </c>
      <c r="B1308" s="313" t="s">
        <v>1460</v>
      </c>
      <c r="C1308" s="312" t="s">
        <v>1007</v>
      </c>
      <c r="D1308" s="314">
        <v>476</v>
      </c>
      <c r="E1308" s="313" t="s">
        <v>982</v>
      </c>
      <c r="F1308" s="315" t="str">
        <f>IF(IF(A1308="","",COUNTIF(CONSOLIDADO!$A:$A,$A1308))=0,"REVISAR","OK")</f>
        <v>OK</v>
      </c>
    </row>
    <row r="1309" spans="1:6" x14ac:dyDescent="0.2">
      <c r="A1309" s="312" t="s">
        <v>1466</v>
      </c>
      <c r="B1309" s="313" t="s">
        <v>1467</v>
      </c>
      <c r="C1309" s="312" t="s">
        <v>1007</v>
      </c>
      <c r="D1309" s="314">
        <v>2368</v>
      </c>
      <c r="E1309" s="313" t="s">
        <v>982</v>
      </c>
      <c r="F1309" s="315" t="str">
        <f>IF(IF(A1309="","",COUNTIF(CONSOLIDADO!$A:$A,$A1309))=0,"REVISAR","OK")</f>
        <v>OK</v>
      </c>
    </row>
    <row r="1310" spans="1:6" x14ac:dyDescent="0.2">
      <c r="A1310" s="312" t="s">
        <v>1466</v>
      </c>
      <c r="B1310" s="313" t="s">
        <v>1467</v>
      </c>
      <c r="C1310" s="312" t="s">
        <v>1007</v>
      </c>
      <c r="D1310" s="314">
        <v>3332</v>
      </c>
      <c r="E1310" s="313" t="s">
        <v>932</v>
      </c>
      <c r="F1310" s="315" t="str">
        <f>IF(IF(A1310="","",COUNTIF(CONSOLIDADO!$A:$A,$A1310))=0,"REVISAR","OK")</f>
        <v>OK</v>
      </c>
    </row>
    <row r="1311" spans="1:6" x14ac:dyDescent="0.2">
      <c r="A1311" s="312" t="s">
        <v>689</v>
      </c>
      <c r="B1311" s="313" t="s">
        <v>461</v>
      </c>
      <c r="C1311" s="312" t="s">
        <v>111</v>
      </c>
      <c r="D1311" s="314">
        <v>200</v>
      </c>
      <c r="E1311" s="313" t="s">
        <v>2211</v>
      </c>
      <c r="F1311" s="315" t="str">
        <f>IF(IF(A1311="","",COUNTIF(CONSOLIDADO!$A:$A,$A1311))=0,"REVISAR","OK")</f>
        <v>OK</v>
      </c>
    </row>
    <row r="1312" spans="1:6" x14ac:dyDescent="0.2">
      <c r="A1312" s="312" t="s">
        <v>689</v>
      </c>
      <c r="B1312" s="313" t="s">
        <v>461</v>
      </c>
      <c r="C1312" s="312" t="s">
        <v>111</v>
      </c>
      <c r="D1312" s="314">
        <v>400</v>
      </c>
      <c r="E1312" s="313" t="s">
        <v>974</v>
      </c>
      <c r="F1312" s="315" t="str">
        <f>IF(IF(A1312="","",COUNTIF(CONSOLIDADO!$A:$A,$A1312))=0,"REVISAR","OK")</f>
        <v>OK</v>
      </c>
    </row>
    <row r="1313" spans="1:6" x14ac:dyDescent="0.2">
      <c r="A1313" s="312" t="s">
        <v>689</v>
      </c>
      <c r="B1313" s="313" t="s">
        <v>461</v>
      </c>
      <c r="C1313" s="312" t="s">
        <v>111</v>
      </c>
      <c r="D1313" s="314">
        <v>400</v>
      </c>
      <c r="E1313" s="313" t="s">
        <v>940</v>
      </c>
      <c r="F1313" s="315" t="str">
        <f>IF(IF(A1313="","",COUNTIF(CONSOLIDADO!$A:$A,$A1313))=0,"REVISAR","OK")</f>
        <v>OK</v>
      </c>
    </row>
    <row r="1314" spans="1:6" x14ac:dyDescent="0.2">
      <c r="A1314" s="312" t="s">
        <v>799</v>
      </c>
      <c r="B1314" s="313" t="s">
        <v>1091</v>
      </c>
      <c r="C1314" s="312" t="s">
        <v>15</v>
      </c>
      <c r="D1314" s="314">
        <v>1520</v>
      </c>
      <c r="E1314" s="313" t="s">
        <v>930</v>
      </c>
      <c r="F1314" s="315" t="str">
        <f>IF(IF(A1314="","",COUNTIF(CONSOLIDADO!$A:$A,$A1314))=0,"REVISAR","OK")</f>
        <v>OK</v>
      </c>
    </row>
    <row r="1315" spans="1:6" x14ac:dyDescent="0.2">
      <c r="A1315" s="312" t="s">
        <v>799</v>
      </c>
      <c r="B1315" s="313" t="s">
        <v>1091</v>
      </c>
      <c r="C1315" s="312" t="s">
        <v>15</v>
      </c>
      <c r="D1315" s="314">
        <v>1982</v>
      </c>
      <c r="E1315" s="313" t="s">
        <v>951</v>
      </c>
      <c r="F1315" s="315" t="str">
        <f>IF(IF(A1315="","",COUNTIF(CONSOLIDADO!$A:$A,$A1315))=0,"REVISAR","OK")</f>
        <v>OK</v>
      </c>
    </row>
    <row r="1316" spans="1:6" x14ac:dyDescent="0.2">
      <c r="A1316" s="312" t="s">
        <v>799</v>
      </c>
      <c r="B1316" s="313" t="s">
        <v>1091</v>
      </c>
      <c r="C1316" s="312" t="s">
        <v>15</v>
      </c>
      <c r="D1316" s="314">
        <v>2499</v>
      </c>
      <c r="E1316" s="313" t="s">
        <v>1115</v>
      </c>
      <c r="F1316" s="315" t="str">
        <f>IF(IF(A1316="","",COUNTIF(CONSOLIDADO!$A:$A,$A1316))=0,"REVISAR","OK")</f>
        <v>OK</v>
      </c>
    </row>
    <row r="1317" spans="1:6" x14ac:dyDescent="0.2">
      <c r="A1317" s="312" t="s">
        <v>799</v>
      </c>
      <c r="B1317" s="313" t="s">
        <v>1091</v>
      </c>
      <c r="C1317" s="312" t="s">
        <v>15</v>
      </c>
      <c r="D1317" s="314">
        <v>2499</v>
      </c>
      <c r="E1317" s="313" t="s">
        <v>938</v>
      </c>
      <c r="F1317" s="315" t="str">
        <f>IF(IF(A1317="","",COUNTIF(CONSOLIDADO!$A:$A,$A1317))=0,"REVISAR","OK")</f>
        <v>OK</v>
      </c>
    </row>
    <row r="1318" spans="1:6" x14ac:dyDescent="0.2">
      <c r="A1318" s="312" t="s">
        <v>799</v>
      </c>
      <c r="B1318" s="313" t="s">
        <v>1091</v>
      </c>
      <c r="C1318" s="312" t="s">
        <v>15</v>
      </c>
      <c r="D1318" s="314">
        <v>2499</v>
      </c>
      <c r="E1318" s="313" t="s">
        <v>982</v>
      </c>
      <c r="F1318" s="315" t="str">
        <f>IF(IF(A1318="","",COUNTIF(CONSOLIDADO!$A:$A,$A1318))=0,"REVISAR","OK")</f>
        <v>OK</v>
      </c>
    </row>
    <row r="1319" spans="1:6" x14ac:dyDescent="0.2">
      <c r="A1319" s="312" t="s">
        <v>799</v>
      </c>
      <c r="B1319" s="313" t="s">
        <v>1091</v>
      </c>
      <c r="C1319" s="312" t="s">
        <v>15</v>
      </c>
      <c r="D1319" s="314">
        <v>2500</v>
      </c>
      <c r="E1319" s="313" t="s">
        <v>943</v>
      </c>
      <c r="F1319" s="315" t="str">
        <f>IF(IF(A1319="","",COUNTIF(CONSOLIDADO!$A:$A,$A1319))=0,"REVISAR","OK")</f>
        <v>OK</v>
      </c>
    </row>
    <row r="1320" spans="1:6" x14ac:dyDescent="0.2">
      <c r="A1320" s="312" t="s">
        <v>799</v>
      </c>
      <c r="B1320" s="313" t="s">
        <v>1091</v>
      </c>
      <c r="C1320" s="312" t="s">
        <v>15</v>
      </c>
      <c r="D1320" s="314">
        <v>2890</v>
      </c>
      <c r="E1320" s="313" t="s">
        <v>2233</v>
      </c>
      <c r="F1320" s="315" t="str">
        <f>IF(IF(A1320="","",COUNTIF(CONSOLIDADO!$A:$A,$A1320))=0,"REVISAR","OK")</f>
        <v>OK</v>
      </c>
    </row>
    <row r="1321" spans="1:6" x14ac:dyDescent="0.2">
      <c r="A1321" s="312" t="s">
        <v>799</v>
      </c>
      <c r="B1321" s="313" t="s">
        <v>1091</v>
      </c>
      <c r="C1321" s="312" t="s">
        <v>15</v>
      </c>
      <c r="D1321" s="314">
        <v>2899</v>
      </c>
      <c r="E1321" s="313" t="s">
        <v>937</v>
      </c>
      <c r="F1321" s="315" t="str">
        <f>IF(IF(A1321="","",COUNTIF(CONSOLIDADO!$A:$A,$A1321))=0,"REVISAR","OK")</f>
        <v>OK</v>
      </c>
    </row>
    <row r="1322" spans="1:6" x14ac:dyDescent="0.2">
      <c r="A1322" s="312" t="s">
        <v>799</v>
      </c>
      <c r="B1322" s="313" t="s">
        <v>1091</v>
      </c>
      <c r="C1322" s="312" t="s">
        <v>15</v>
      </c>
      <c r="D1322" s="314">
        <v>3000</v>
      </c>
      <c r="E1322" s="313" t="s">
        <v>944</v>
      </c>
      <c r="F1322" s="315" t="str">
        <f>IF(IF(A1322="","",COUNTIF(CONSOLIDADO!$A:$A,$A1322))=0,"REVISAR","OK")</f>
        <v>OK</v>
      </c>
    </row>
    <row r="1323" spans="1:6" x14ac:dyDescent="0.2">
      <c r="A1323" s="312" t="s">
        <v>799</v>
      </c>
      <c r="B1323" s="313" t="s">
        <v>1091</v>
      </c>
      <c r="C1323" s="312" t="s">
        <v>15</v>
      </c>
      <c r="D1323" s="314">
        <v>3390</v>
      </c>
      <c r="E1323" s="313" t="s">
        <v>930</v>
      </c>
      <c r="F1323" s="315" t="str">
        <f>IF(IF(A1323="","",COUNTIF(CONSOLIDADO!$A:$A,$A1323))=0,"REVISAR","OK")</f>
        <v>OK</v>
      </c>
    </row>
    <row r="1324" spans="1:6" x14ac:dyDescent="0.2">
      <c r="A1324" s="312" t="s">
        <v>799</v>
      </c>
      <c r="B1324" s="313" t="s">
        <v>1091</v>
      </c>
      <c r="C1324" s="312" t="s">
        <v>15</v>
      </c>
      <c r="D1324" s="314">
        <v>5050</v>
      </c>
      <c r="E1324" s="313" t="s">
        <v>948</v>
      </c>
      <c r="F1324" s="315" t="str">
        <f>IF(IF(A1324="","",COUNTIF(CONSOLIDADO!$A:$A,$A1324))=0,"REVISAR","OK")</f>
        <v>OK</v>
      </c>
    </row>
    <row r="1325" spans="1:6" x14ac:dyDescent="0.2">
      <c r="A1325" s="312" t="s">
        <v>799</v>
      </c>
      <c r="B1325" s="313" t="s">
        <v>1091</v>
      </c>
      <c r="C1325" s="312" t="s">
        <v>15</v>
      </c>
      <c r="D1325" s="314">
        <v>5198</v>
      </c>
      <c r="E1325" s="313" t="s">
        <v>948</v>
      </c>
      <c r="F1325" s="315" t="str">
        <f>IF(IF(A1325="","",COUNTIF(CONSOLIDADO!$A:$A,$A1325))=0,"REVISAR","OK")</f>
        <v>OK</v>
      </c>
    </row>
    <row r="1326" spans="1:6" x14ac:dyDescent="0.2">
      <c r="A1326" s="312" t="s">
        <v>799</v>
      </c>
      <c r="B1326" s="313" t="s">
        <v>1091</v>
      </c>
      <c r="C1326" s="312" t="s">
        <v>15</v>
      </c>
      <c r="D1326" s="314">
        <v>5711</v>
      </c>
      <c r="E1326" s="313" t="s">
        <v>946</v>
      </c>
      <c r="F1326" s="315" t="str">
        <f>IF(IF(A1326="","",COUNTIF(CONSOLIDADO!$A:$A,$A1326))=0,"REVISAR","OK")</f>
        <v>OK</v>
      </c>
    </row>
    <row r="1327" spans="1:6" x14ac:dyDescent="0.2">
      <c r="A1327" s="312" t="s">
        <v>1092</v>
      </c>
      <c r="B1327" s="313" t="s">
        <v>38</v>
      </c>
      <c r="C1327" s="312" t="s">
        <v>906</v>
      </c>
      <c r="D1327" s="314">
        <v>340</v>
      </c>
      <c r="E1327" s="313" t="s">
        <v>2176</v>
      </c>
      <c r="F1327" s="315" t="str">
        <f>IF(IF(A1327="","",COUNTIF(CONSOLIDADO!$A:$A,$A1327))=0,"REVISAR","OK")</f>
        <v>OK</v>
      </c>
    </row>
    <row r="1328" spans="1:6" x14ac:dyDescent="0.2">
      <c r="A1328" s="312" t="s">
        <v>1092</v>
      </c>
      <c r="B1328" s="313" t="s">
        <v>38</v>
      </c>
      <c r="C1328" s="312" t="s">
        <v>906</v>
      </c>
      <c r="D1328" s="314">
        <v>1190</v>
      </c>
      <c r="E1328" s="313" t="s">
        <v>939</v>
      </c>
      <c r="F1328" s="315" t="str">
        <f>IF(IF(A1328="","",COUNTIF(CONSOLIDADO!$A:$A,$A1328))=0,"REVISAR","OK")</f>
        <v>OK</v>
      </c>
    </row>
    <row r="1329" spans="1:6" x14ac:dyDescent="0.2">
      <c r="A1329" s="312" t="s">
        <v>1092</v>
      </c>
      <c r="B1329" s="313" t="s">
        <v>38</v>
      </c>
      <c r="C1329" s="312" t="s">
        <v>906</v>
      </c>
      <c r="D1329" s="314">
        <v>1516</v>
      </c>
      <c r="E1329" s="313" t="s">
        <v>2238</v>
      </c>
      <c r="F1329" s="315" t="str">
        <f>IF(IF(A1329="","",COUNTIF(CONSOLIDADO!$A:$A,$A1329))=0,"REVISAR","OK")</f>
        <v>OK</v>
      </c>
    </row>
    <row r="1330" spans="1:6" x14ac:dyDescent="0.2">
      <c r="A1330" s="312" t="s">
        <v>1092</v>
      </c>
      <c r="B1330" s="313" t="s">
        <v>38</v>
      </c>
      <c r="C1330" s="312" t="s">
        <v>906</v>
      </c>
      <c r="D1330" s="314">
        <v>2380</v>
      </c>
      <c r="E1330" s="313" t="s">
        <v>982</v>
      </c>
      <c r="F1330" s="315" t="str">
        <f>IF(IF(A1330="","",COUNTIF(CONSOLIDADO!$A:$A,$A1330))=0,"REVISAR","OK")</f>
        <v>OK</v>
      </c>
    </row>
    <row r="1331" spans="1:6" x14ac:dyDescent="0.2">
      <c r="A1331" s="312" t="s">
        <v>802</v>
      </c>
      <c r="B1331" s="313" t="s">
        <v>1004</v>
      </c>
      <c r="C1331" s="312" t="s">
        <v>906</v>
      </c>
      <c r="D1331" s="314">
        <v>1199</v>
      </c>
      <c r="E1331" s="313" t="s">
        <v>932</v>
      </c>
      <c r="F1331" s="315" t="str">
        <f>IF(IF(A1331="","",COUNTIF(CONSOLIDADO!$A:$A,$A1331))=0,"REVISAR","OK")</f>
        <v>OK</v>
      </c>
    </row>
    <row r="1332" spans="1:6" x14ac:dyDescent="0.2">
      <c r="A1332" s="312" t="s">
        <v>802</v>
      </c>
      <c r="B1332" s="313" t="s">
        <v>1004</v>
      </c>
      <c r="C1332" s="312" t="s">
        <v>906</v>
      </c>
      <c r="D1332" s="314">
        <v>1199</v>
      </c>
      <c r="E1332" s="313" t="s">
        <v>929</v>
      </c>
      <c r="F1332" s="315" t="str">
        <f>IF(IF(A1332="","",COUNTIF(CONSOLIDADO!$A:$A,$A1332))=0,"REVISAR","OK")</f>
        <v>OK</v>
      </c>
    </row>
    <row r="1333" spans="1:6" x14ac:dyDescent="0.2">
      <c r="A1333" s="312" t="s">
        <v>802</v>
      </c>
      <c r="B1333" s="313" t="s">
        <v>1004</v>
      </c>
      <c r="C1333" s="312" t="s">
        <v>906</v>
      </c>
      <c r="D1333" s="314">
        <v>1290</v>
      </c>
      <c r="E1333" s="313" t="s">
        <v>2073</v>
      </c>
      <c r="F1333" s="315" t="str">
        <f>IF(IF(A1333="","",COUNTIF(CONSOLIDADO!$A:$A,$A1333))=0,"REVISAR","OK")</f>
        <v>OK</v>
      </c>
    </row>
    <row r="1334" spans="1:6" x14ac:dyDescent="0.2">
      <c r="A1334" s="312" t="s">
        <v>802</v>
      </c>
      <c r="B1334" s="313" t="s">
        <v>1004</v>
      </c>
      <c r="C1334" s="312" t="s">
        <v>906</v>
      </c>
      <c r="D1334" s="314">
        <v>1500</v>
      </c>
      <c r="E1334" s="313" t="s">
        <v>2274</v>
      </c>
      <c r="F1334" s="315" t="str">
        <f>IF(IF(A1334="","",COUNTIF(CONSOLIDADO!$A:$A,$A1334))=0,"REVISAR","OK")</f>
        <v>OK</v>
      </c>
    </row>
    <row r="1335" spans="1:6" x14ac:dyDescent="0.2">
      <c r="A1335" s="312" t="s">
        <v>802</v>
      </c>
      <c r="B1335" s="313" t="s">
        <v>1004</v>
      </c>
      <c r="C1335" s="312" t="s">
        <v>906</v>
      </c>
      <c r="D1335" s="314">
        <v>1500</v>
      </c>
      <c r="E1335" s="313" t="s">
        <v>938</v>
      </c>
      <c r="F1335" s="315" t="str">
        <f>IF(IF(A1335="","",COUNTIF(CONSOLIDADO!$A:$A,$A1335))=0,"REVISAR","OK")</f>
        <v>OK</v>
      </c>
    </row>
    <row r="1336" spans="1:6" x14ac:dyDescent="0.2">
      <c r="A1336" s="312" t="s">
        <v>802</v>
      </c>
      <c r="B1336" s="313" t="s">
        <v>1004</v>
      </c>
      <c r="C1336" s="312" t="s">
        <v>906</v>
      </c>
      <c r="D1336" s="314">
        <v>2320</v>
      </c>
      <c r="E1336" s="313" t="s">
        <v>1115</v>
      </c>
      <c r="F1336" s="315" t="str">
        <f>IF(IF(A1336="","",COUNTIF(CONSOLIDADO!$A:$A,$A1336))=0,"REVISAR","OK")</f>
        <v>OK</v>
      </c>
    </row>
    <row r="1337" spans="1:6" x14ac:dyDescent="0.2">
      <c r="A1337" s="312" t="s">
        <v>802</v>
      </c>
      <c r="B1337" s="313" t="s">
        <v>1004</v>
      </c>
      <c r="C1337" s="312" t="s">
        <v>906</v>
      </c>
      <c r="D1337" s="314">
        <v>2500</v>
      </c>
      <c r="E1337" s="313" t="s">
        <v>2211</v>
      </c>
      <c r="F1337" s="315" t="str">
        <f>IF(IF(A1337="","",COUNTIF(CONSOLIDADO!$A:$A,$A1337))=0,"REVISAR","OK")</f>
        <v>OK</v>
      </c>
    </row>
    <row r="1338" spans="1:6" x14ac:dyDescent="0.2">
      <c r="A1338" s="312" t="s">
        <v>802</v>
      </c>
      <c r="B1338" s="313" t="s">
        <v>1004</v>
      </c>
      <c r="C1338" s="312" t="s">
        <v>906</v>
      </c>
      <c r="D1338" s="314">
        <v>2600</v>
      </c>
      <c r="E1338" s="313" t="s">
        <v>974</v>
      </c>
      <c r="F1338" s="315" t="str">
        <f>IF(IF(A1338="","",COUNTIF(CONSOLIDADO!$A:$A,$A1338))=0,"REVISAR","OK")</f>
        <v>OK</v>
      </c>
    </row>
    <row r="1339" spans="1:6" x14ac:dyDescent="0.2">
      <c r="A1339" s="312" t="s">
        <v>802</v>
      </c>
      <c r="B1339" s="313" t="s">
        <v>1004</v>
      </c>
      <c r="C1339" s="312" t="s">
        <v>906</v>
      </c>
      <c r="D1339" s="314">
        <v>2600</v>
      </c>
      <c r="E1339" s="313" t="s">
        <v>940</v>
      </c>
      <c r="F1339" s="315" t="str">
        <f>IF(IF(A1339="","",COUNTIF(CONSOLIDADO!$A:$A,$A1339))=0,"REVISAR","OK")</f>
        <v>OK</v>
      </c>
    </row>
    <row r="1340" spans="1:6" x14ac:dyDescent="0.2">
      <c r="A1340" s="312" t="s">
        <v>802</v>
      </c>
      <c r="B1340" s="313" t="s">
        <v>1004</v>
      </c>
      <c r="C1340" s="312" t="s">
        <v>906</v>
      </c>
      <c r="D1340" s="314">
        <v>2990</v>
      </c>
      <c r="E1340" s="313" t="s">
        <v>2176</v>
      </c>
      <c r="F1340" s="315" t="str">
        <f>IF(IF(A1340="","",COUNTIF(CONSOLIDADO!$A:$A,$A1340))=0,"REVISAR","OK")</f>
        <v>OK</v>
      </c>
    </row>
    <row r="1341" spans="1:6" x14ac:dyDescent="0.2">
      <c r="A1341" s="312" t="s">
        <v>806</v>
      </c>
      <c r="B1341" s="313" t="s">
        <v>1005</v>
      </c>
      <c r="C1341" s="312" t="s">
        <v>906</v>
      </c>
      <c r="D1341" s="314">
        <v>510</v>
      </c>
      <c r="E1341" s="313" t="s">
        <v>943</v>
      </c>
      <c r="F1341" s="315" t="str">
        <f>IF(IF(A1341="","",COUNTIF(CONSOLIDADO!$A:$A,$A1341))=0,"REVISAR","OK")</f>
        <v>OK</v>
      </c>
    </row>
    <row r="1342" spans="1:6" x14ac:dyDescent="0.2">
      <c r="A1342" s="312" t="s">
        <v>806</v>
      </c>
      <c r="B1342" s="313" t="s">
        <v>1005</v>
      </c>
      <c r="C1342" s="312" t="s">
        <v>906</v>
      </c>
      <c r="D1342" s="314">
        <v>520</v>
      </c>
      <c r="E1342" s="313" t="s">
        <v>943</v>
      </c>
      <c r="F1342" s="315" t="str">
        <f>IF(IF(A1342="","",COUNTIF(CONSOLIDADO!$A:$A,$A1342))=0,"REVISAR","OK")</f>
        <v>OK</v>
      </c>
    </row>
    <row r="1343" spans="1:6" x14ac:dyDescent="0.2">
      <c r="A1343" s="312" t="s">
        <v>806</v>
      </c>
      <c r="B1343" s="313" t="s">
        <v>1005</v>
      </c>
      <c r="C1343" s="312" t="s">
        <v>906</v>
      </c>
      <c r="D1343" s="314">
        <v>547</v>
      </c>
      <c r="E1343" s="313" t="s">
        <v>929</v>
      </c>
      <c r="F1343" s="315" t="str">
        <f>IF(IF(A1343="","",COUNTIF(CONSOLIDADO!$A:$A,$A1343))=0,"REVISAR","OK")</f>
        <v>OK</v>
      </c>
    </row>
    <row r="1344" spans="1:6" x14ac:dyDescent="0.2">
      <c r="A1344" s="312" t="s">
        <v>806</v>
      </c>
      <c r="B1344" s="313" t="s">
        <v>1005</v>
      </c>
      <c r="C1344" s="312" t="s">
        <v>906</v>
      </c>
      <c r="D1344" s="314">
        <v>1059</v>
      </c>
      <c r="E1344" s="313" t="s">
        <v>2210</v>
      </c>
      <c r="F1344" s="315" t="str">
        <f>IF(IF(A1344="","",COUNTIF(CONSOLIDADO!$A:$A,$A1344))=0,"REVISAR","OK")</f>
        <v>OK</v>
      </c>
    </row>
    <row r="1345" spans="1:6" x14ac:dyDescent="0.2">
      <c r="A1345" s="312" t="s">
        <v>806</v>
      </c>
      <c r="B1345" s="313" t="s">
        <v>1005</v>
      </c>
      <c r="C1345" s="312" t="s">
        <v>906</v>
      </c>
      <c r="D1345" s="314">
        <v>2500</v>
      </c>
      <c r="E1345" s="313" t="s">
        <v>2211</v>
      </c>
      <c r="F1345" s="315" t="str">
        <f>IF(IF(A1345="","",COUNTIF(CONSOLIDADO!$A:$A,$A1345))=0,"REVISAR","OK")</f>
        <v>OK</v>
      </c>
    </row>
    <row r="1346" spans="1:6" x14ac:dyDescent="0.2">
      <c r="A1346" s="312" t="s">
        <v>806</v>
      </c>
      <c r="B1346" s="313" t="s">
        <v>1005</v>
      </c>
      <c r="C1346" s="312" t="s">
        <v>906</v>
      </c>
      <c r="D1346" s="314">
        <v>2975</v>
      </c>
      <c r="E1346" s="313" t="s">
        <v>982</v>
      </c>
      <c r="F1346" s="315" t="str">
        <f>IF(IF(A1346="","",COUNTIF(CONSOLIDADO!$A:$A,$A1346))=0,"REVISAR","OK")</f>
        <v>OK</v>
      </c>
    </row>
    <row r="1347" spans="1:6" x14ac:dyDescent="0.2">
      <c r="A1347" s="312" t="s">
        <v>806</v>
      </c>
      <c r="B1347" s="313" t="s">
        <v>1005</v>
      </c>
      <c r="C1347" s="312" t="s">
        <v>906</v>
      </c>
      <c r="D1347" s="314">
        <v>3272</v>
      </c>
      <c r="E1347" s="313" t="s">
        <v>982</v>
      </c>
      <c r="F1347" s="315" t="str">
        <f>IF(IF(A1347="","",COUNTIF(CONSOLIDADO!$A:$A,$A1347))=0,"REVISAR","OK")</f>
        <v>OK</v>
      </c>
    </row>
    <row r="1348" spans="1:6" x14ac:dyDescent="0.2">
      <c r="A1348" s="312" t="s">
        <v>834</v>
      </c>
      <c r="B1348" s="313" t="s">
        <v>445</v>
      </c>
      <c r="C1348" s="312" t="s">
        <v>15</v>
      </c>
      <c r="D1348" s="314">
        <v>2500</v>
      </c>
      <c r="E1348" s="313" t="s">
        <v>931</v>
      </c>
      <c r="F1348" s="315" t="str">
        <f>IF(IF(A1348="","",COUNTIF(CONSOLIDADO!$A:$A,$A1348))=0,"REVISAR","OK")</f>
        <v>OK</v>
      </c>
    </row>
    <row r="1349" spans="1:6" x14ac:dyDescent="0.2">
      <c r="A1349" s="312" t="s">
        <v>834</v>
      </c>
      <c r="B1349" s="313" t="s">
        <v>445</v>
      </c>
      <c r="C1349" s="312" t="s">
        <v>15</v>
      </c>
      <c r="D1349" s="314">
        <v>2500</v>
      </c>
      <c r="E1349" s="313" t="s">
        <v>946</v>
      </c>
      <c r="F1349" s="315" t="str">
        <f>IF(IF(A1349="","",COUNTIF(CONSOLIDADO!$A:$A,$A1349))=0,"REVISAR","OK")</f>
        <v>OK</v>
      </c>
    </row>
    <row r="1350" spans="1:6" x14ac:dyDescent="0.2">
      <c r="A1350" s="312" t="s">
        <v>834</v>
      </c>
      <c r="B1350" s="313" t="s">
        <v>445</v>
      </c>
      <c r="C1350" s="312" t="s">
        <v>15</v>
      </c>
      <c r="D1350" s="314">
        <v>2500</v>
      </c>
      <c r="E1350" s="313" t="s">
        <v>937</v>
      </c>
      <c r="F1350" s="315" t="str">
        <f>IF(IF(A1350="","",COUNTIF(CONSOLIDADO!$A:$A,$A1350))=0,"REVISAR","OK")</f>
        <v>OK</v>
      </c>
    </row>
    <row r="1351" spans="1:6" x14ac:dyDescent="0.2">
      <c r="A1351" s="312" t="s">
        <v>2016</v>
      </c>
      <c r="B1351" s="313" t="s">
        <v>967</v>
      </c>
      <c r="C1351" s="312" t="s">
        <v>297</v>
      </c>
      <c r="D1351" s="314">
        <v>9499</v>
      </c>
      <c r="E1351" s="313" t="s">
        <v>937</v>
      </c>
      <c r="F1351" s="315" t="str">
        <f>IF(IF(A1351="","",COUNTIF(CONSOLIDADO!$A:$A,$A1351))=0,"REVISAR","OK")</f>
        <v>OK</v>
      </c>
    </row>
    <row r="1352" spans="1:6" x14ac:dyDescent="0.2">
      <c r="A1352" s="312" t="s">
        <v>2016</v>
      </c>
      <c r="B1352" s="313" t="s">
        <v>967</v>
      </c>
      <c r="C1352" s="312" t="s">
        <v>297</v>
      </c>
      <c r="D1352" s="314">
        <v>35000</v>
      </c>
      <c r="E1352" s="313" t="s">
        <v>936</v>
      </c>
      <c r="F1352" s="315" t="str">
        <f>IF(IF(A1352="","",COUNTIF(CONSOLIDADO!$A:$A,$A1352))=0,"REVISAR","OK")</f>
        <v>OK</v>
      </c>
    </row>
    <row r="1353" spans="1:6" x14ac:dyDescent="0.2">
      <c r="A1353" s="312" t="s">
        <v>1099</v>
      </c>
      <c r="B1353" s="313" t="s">
        <v>1100</v>
      </c>
      <c r="C1353" s="312" t="s">
        <v>947</v>
      </c>
      <c r="D1353" s="314">
        <v>1249</v>
      </c>
      <c r="E1353" s="313" t="s">
        <v>946</v>
      </c>
      <c r="F1353" s="315" t="str">
        <f>IF(IF(A1353="","",COUNTIF(CONSOLIDADO!$A:$A,$A1353))=0,"REVISAR","OK")</f>
        <v>OK</v>
      </c>
    </row>
    <row r="1354" spans="1:6" x14ac:dyDescent="0.2">
      <c r="A1354" s="312" t="s">
        <v>1101</v>
      </c>
      <c r="B1354" s="313" t="s">
        <v>1102</v>
      </c>
      <c r="C1354" s="312" t="s">
        <v>111</v>
      </c>
      <c r="D1354" s="314">
        <v>780</v>
      </c>
      <c r="E1354" s="313" t="s">
        <v>930</v>
      </c>
      <c r="F1354" s="315" t="str">
        <f>IF(IF(A1354="","",COUNTIF(CONSOLIDADO!$A:$A,$A1354))=0,"REVISAR","OK")</f>
        <v>OK</v>
      </c>
    </row>
    <row r="1355" spans="1:6" x14ac:dyDescent="0.2">
      <c r="A1355" s="312" t="s">
        <v>2332</v>
      </c>
      <c r="B1355" s="313" t="s">
        <v>11</v>
      </c>
      <c r="C1355" s="312" t="s">
        <v>15</v>
      </c>
      <c r="D1355" s="314">
        <v>1670</v>
      </c>
      <c r="E1355" s="313" t="s">
        <v>933</v>
      </c>
      <c r="F1355" s="315" t="str">
        <f>IF(IF(A1355="","",COUNTIF(CONSOLIDADO!$A:$A,$A1355))=0,"REVISAR","OK")</f>
        <v>OK</v>
      </c>
    </row>
    <row r="1356" spans="1:6" x14ac:dyDescent="0.2">
      <c r="A1356" s="312" t="s">
        <v>786</v>
      </c>
      <c r="B1356" s="313" t="s">
        <v>446</v>
      </c>
      <c r="C1356" s="312" t="s">
        <v>111</v>
      </c>
      <c r="D1356" s="314">
        <v>416</v>
      </c>
      <c r="E1356" s="313" t="s">
        <v>2276</v>
      </c>
      <c r="F1356" s="315" t="str">
        <f>IF(IF(A1356="","",COUNTIF(CONSOLIDADO!$A:$A,$A1356))=0,"REVISAR","OK")</f>
        <v>OK</v>
      </c>
    </row>
    <row r="1357" spans="1:6" x14ac:dyDescent="0.2">
      <c r="A1357" s="312" t="s">
        <v>786</v>
      </c>
      <c r="B1357" s="313" t="s">
        <v>446</v>
      </c>
      <c r="C1357" s="312" t="s">
        <v>111</v>
      </c>
      <c r="D1357" s="314">
        <v>428</v>
      </c>
      <c r="E1357" s="313" t="s">
        <v>982</v>
      </c>
      <c r="F1357" s="315" t="str">
        <f>IF(IF(A1357="","",COUNTIF(CONSOLIDADO!$A:$A,$A1357))=0,"REVISAR","OK")</f>
        <v>OK</v>
      </c>
    </row>
    <row r="1358" spans="1:6" x14ac:dyDescent="0.2">
      <c r="A1358" s="312" t="s">
        <v>786</v>
      </c>
      <c r="B1358" s="313" t="s">
        <v>446</v>
      </c>
      <c r="C1358" s="312" t="s">
        <v>111</v>
      </c>
      <c r="D1358" s="314">
        <v>428</v>
      </c>
      <c r="E1358" s="313" t="s">
        <v>939</v>
      </c>
      <c r="F1358" s="315" t="str">
        <f>IF(IF(A1358="","",COUNTIF(CONSOLIDADO!$A:$A,$A1358))=0,"REVISAR","OK")</f>
        <v>OK</v>
      </c>
    </row>
    <row r="1359" spans="1:6" x14ac:dyDescent="0.2">
      <c r="A1359" s="312" t="s">
        <v>786</v>
      </c>
      <c r="B1359" s="313" t="s">
        <v>446</v>
      </c>
      <c r="C1359" s="312" t="s">
        <v>111</v>
      </c>
      <c r="D1359" s="314">
        <v>482</v>
      </c>
      <c r="E1359" s="313" t="s">
        <v>949</v>
      </c>
      <c r="F1359" s="315" t="str">
        <f>IF(IF(A1359="","",COUNTIF(CONSOLIDADO!$A:$A,$A1359))=0,"REVISAR","OK")</f>
        <v>OK</v>
      </c>
    </row>
    <row r="1360" spans="1:6" x14ac:dyDescent="0.2">
      <c r="A1360" s="312" t="s">
        <v>786</v>
      </c>
      <c r="B1360" s="313" t="s">
        <v>446</v>
      </c>
      <c r="C1360" s="312" t="s">
        <v>111</v>
      </c>
      <c r="D1360" s="314">
        <v>505</v>
      </c>
      <c r="E1360" s="313" t="s">
        <v>935</v>
      </c>
      <c r="F1360" s="315" t="str">
        <f>IF(IF(A1360="","",COUNTIF(CONSOLIDADO!$A:$A,$A1360))=0,"REVISAR","OK")</f>
        <v>OK</v>
      </c>
    </row>
    <row r="1361" spans="1:6" x14ac:dyDescent="0.2">
      <c r="A1361" s="312" t="s">
        <v>1487</v>
      </c>
      <c r="B1361" s="313" t="s">
        <v>233</v>
      </c>
      <c r="C1361" s="312" t="s">
        <v>956</v>
      </c>
      <c r="D1361" s="314">
        <v>11500</v>
      </c>
      <c r="E1361" s="313" t="s">
        <v>936</v>
      </c>
      <c r="F1361" s="315" t="str">
        <f>IF(IF(A1361="","",COUNTIF(CONSOLIDADO!$A:$A,$A1361))=0,"REVISAR","OK")</f>
        <v>OK</v>
      </c>
    </row>
    <row r="1362" spans="1:6" x14ac:dyDescent="0.2">
      <c r="A1362" s="312" t="s">
        <v>779</v>
      </c>
      <c r="B1362" s="313" t="s">
        <v>559</v>
      </c>
      <c r="C1362" s="312" t="s">
        <v>947</v>
      </c>
      <c r="D1362" s="314">
        <v>1400</v>
      </c>
      <c r="E1362" s="313" t="s">
        <v>951</v>
      </c>
      <c r="F1362" s="315" t="str">
        <f>IF(IF(A1362="","",COUNTIF(CONSOLIDADO!$A:$A,$A1362))=0,"REVISAR","OK")</f>
        <v>OK</v>
      </c>
    </row>
    <row r="1363" spans="1:6" x14ac:dyDescent="0.2">
      <c r="A1363" s="312" t="s">
        <v>779</v>
      </c>
      <c r="B1363" s="313" t="s">
        <v>559</v>
      </c>
      <c r="C1363" s="312" t="s">
        <v>947</v>
      </c>
      <c r="D1363" s="314">
        <v>1800</v>
      </c>
      <c r="E1363" s="313" t="s">
        <v>944</v>
      </c>
      <c r="F1363" s="315" t="str">
        <f>IF(IF(A1363="","",COUNTIF(CONSOLIDADO!$A:$A,$A1363))=0,"REVISAR","OK")</f>
        <v>OK</v>
      </c>
    </row>
    <row r="1364" spans="1:6" x14ac:dyDescent="0.2">
      <c r="A1364" s="312" t="s">
        <v>779</v>
      </c>
      <c r="B1364" s="313" t="s">
        <v>559</v>
      </c>
      <c r="C1364" s="312" t="s">
        <v>947</v>
      </c>
      <c r="D1364" s="314">
        <v>1850</v>
      </c>
      <c r="E1364" s="313" t="s">
        <v>930</v>
      </c>
      <c r="F1364" s="315" t="str">
        <f>IF(IF(A1364="","",COUNTIF(CONSOLIDADO!$A:$A,$A1364))=0,"REVISAR","OK")</f>
        <v>OK</v>
      </c>
    </row>
    <row r="1365" spans="1:6" x14ac:dyDescent="0.2">
      <c r="A1365" s="312" t="s">
        <v>779</v>
      </c>
      <c r="B1365" s="313" t="s">
        <v>559</v>
      </c>
      <c r="C1365" s="312" t="s">
        <v>947</v>
      </c>
      <c r="D1365" s="314">
        <v>2320</v>
      </c>
      <c r="E1365" s="313" t="s">
        <v>932</v>
      </c>
      <c r="F1365" s="315" t="str">
        <f>IF(IF(A1365="","",COUNTIF(CONSOLIDADO!$A:$A,$A1365))=0,"REVISAR","OK")</f>
        <v>OK</v>
      </c>
    </row>
    <row r="1366" spans="1:6" x14ac:dyDescent="0.2">
      <c r="A1366" s="312" t="s">
        <v>1488</v>
      </c>
      <c r="B1366" s="313" t="s">
        <v>1489</v>
      </c>
      <c r="C1366" s="312" t="s">
        <v>15</v>
      </c>
      <c r="D1366" s="314">
        <v>8925</v>
      </c>
      <c r="E1366" s="313" t="s">
        <v>949</v>
      </c>
      <c r="F1366" s="315" t="str">
        <f>IF(IF(A1366="","",COUNTIF(CONSOLIDADO!$A:$A,$A1366))=0,"REVISAR","OK")</f>
        <v>OK</v>
      </c>
    </row>
    <row r="1367" spans="1:6" x14ac:dyDescent="0.2">
      <c r="A1367" s="312" t="s">
        <v>1488</v>
      </c>
      <c r="B1367" s="313" t="s">
        <v>1489</v>
      </c>
      <c r="C1367" s="312" t="s">
        <v>15</v>
      </c>
      <c r="D1367" s="314">
        <v>9800</v>
      </c>
      <c r="E1367" s="313" t="s">
        <v>936</v>
      </c>
      <c r="F1367" s="315" t="str">
        <f>IF(IF(A1367="","",COUNTIF(CONSOLIDADO!$A:$A,$A1367))=0,"REVISAR","OK")</f>
        <v>OK</v>
      </c>
    </row>
    <row r="1368" spans="1:6" x14ac:dyDescent="0.2">
      <c r="A1368" s="312" t="s">
        <v>1488</v>
      </c>
      <c r="B1368" s="313" t="s">
        <v>1489</v>
      </c>
      <c r="C1368" s="312" t="s">
        <v>15</v>
      </c>
      <c r="D1368" s="314">
        <v>9996</v>
      </c>
      <c r="E1368" s="313" t="s">
        <v>2275</v>
      </c>
      <c r="F1368" s="315" t="str">
        <f>IF(IF(A1368="","",COUNTIF(CONSOLIDADO!$A:$A,$A1368))=0,"REVISAR","OK")</f>
        <v>OK</v>
      </c>
    </row>
    <row r="1369" spans="1:6" x14ac:dyDescent="0.2">
      <c r="A1369" s="312" t="s">
        <v>756</v>
      </c>
      <c r="B1369" s="313" t="s">
        <v>447</v>
      </c>
      <c r="C1369" s="312" t="s">
        <v>906</v>
      </c>
      <c r="D1369" s="314">
        <v>630</v>
      </c>
      <c r="E1369" s="313" t="s">
        <v>948</v>
      </c>
      <c r="F1369" s="315" t="str">
        <f>IF(IF(A1369="","",COUNTIF(CONSOLIDADO!$A:$A,$A1369))=0,"REVISAR","OK")</f>
        <v>OK</v>
      </c>
    </row>
    <row r="1370" spans="1:6" x14ac:dyDescent="0.2">
      <c r="A1370" s="312" t="s">
        <v>1492</v>
      </c>
      <c r="B1370" s="313" t="s">
        <v>1493</v>
      </c>
      <c r="C1370" s="312" t="s">
        <v>906</v>
      </c>
      <c r="D1370" s="314">
        <v>999</v>
      </c>
      <c r="E1370" s="313" t="s">
        <v>929</v>
      </c>
      <c r="F1370" s="315" t="str">
        <f>IF(IF(A1370="","",COUNTIF(CONSOLIDADO!$A:$A,$A1370))=0,"REVISAR","OK")</f>
        <v>OK</v>
      </c>
    </row>
    <row r="1371" spans="1:6" x14ac:dyDescent="0.2">
      <c r="A1371" s="312" t="s">
        <v>1105</v>
      </c>
      <c r="B1371" s="313" t="s">
        <v>1106</v>
      </c>
      <c r="C1371" s="312" t="s">
        <v>111</v>
      </c>
      <c r="D1371" s="314">
        <v>4500</v>
      </c>
      <c r="E1371" s="313" t="s">
        <v>976</v>
      </c>
      <c r="F1371" s="315" t="str">
        <f>IF(IF(A1371="","",COUNTIF(CONSOLIDADO!$A:$A,$A1371))=0,"REVISAR","OK")</f>
        <v>OK</v>
      </c>
    </row>
    <row r="1372" spans="1:6" x14ac:dyDescent="0.2">
      <c r="A1372" s="312" t="s">
        <v>1105</v>
      </c>
      <c r="B1372" s="313" t="s">
        <v>1106</v>
      </c>
      <c r="C1372" s="312" t="s">
        <v>111</v>
      </c>
      <c r="D1372" s="314">
        <v>4500</v>
      </c>
      <c r="E1372" s="313" t="s">
        <v>974</v>
      </c>
      <c r="F1372" s="315" t="str">
        <f>IF(IF(A1372="","",COUNTIF(CONSOLIDADO!$A:$A,$A1372))=0,"REVISAR","OK")</f>
        <v>OK</v>
      </c>
    </row>
    <row r="1373" spans="1:6" x14ac:dyDescent="0.2">
      <c r="A1373" s="312" t="s">
        <v>1105</v>
      </c>
      <c r="B1373" s="313" t="s">
        <v>1106</v>
      </c>
      <c r="C1373" s="312" t="s">
        <v>111</v>
      </c>
      <c r="D1373" s="314">
        <v>9180</v>
      </c>
      <c r="E1373" s="313" t="s">
        <v>974</v>
      </c>
      <c r="F1373" s="315" t="str">
        <f>IF(IF(A1373="","",COUNTIF(CONSOLIDADO!$A:$A,$A1373))=0,"REVISAR","OK")</f>
        <v>OK</v>
      </c>
    </row>
    <row r="1374" spans="1:6" x14ac:dyDescent="0.2">
      <c r="A1374" s="312" t="s">
        <v>1494</v>
      </c>
      <c r="B1374" s="313" t="s">
        <v>1495</v>
      </c>
      <c r="C1374" s="312" t="s">
        <v>111</v>
      </c>
      <c r="D1374" s="314">
        <v>6500</v>
      </c>
      <c r="E1374" s="313" t="s">
        <v>943</v>
      </c>
      <c r="F1374" s="315" t="str">
        <f>IF(IF(A1374="","",COUNTIF(CONSOLIDADO!$A:$A,$A1374))=0,"REVISAR","OK")</f>
        <v>OK</v>
      </c>
    </row>
    <row r="1375" spans="1:6" x14ac:dyDescent="0.2">
      <c r="A1375" s="312" t="s">
        <v>874</v>
      </c>
      <c r="B1375" s="313" t="s">
        <v>608</v>
      </c>
      <c r="C1375" s="312" t="s">
        <v>111</v>
      </c>
      <c r="D1375" s="314">
        <v>321</v>
      </c>
      <c r="E1375" s="313" t="s">
        <v>982</v>
      </c>
      <c r="F1375" s="315" t="str">
        <f>IF(IF(A1375="","",COUNTIF(CONSOLIDADO!$A:$A,$A1375))=0,"REVISAR","OK")</f>
        <v>OK</v>
      </c>
    </row>
    <row r="1376" spans="1:6" x14ac:dyDescent="0.2">
      <c r="A1376" s="312" t="s">
        <v>1872</v>
      </c>
      <c r="B1376" s="313" t="s">
        <v>1873</v>
      </c>
      <c r="C1376" s="312" t="s">
        <v>111</v>
      </c>
      <c r="D1376" s="314">
        <v>6500</v>
      </c>
      <c r="E1376" s="313" t="s">
        <v>936</v>
      </c>
      <c r="F1376" s="315" t="str">
        <f>IF(IF(A1376="","",COUNTIF(CONSOLIDADO!$A:$A,$A1376))=0,"REVISAR","OK")</f>
        <v>OK</v>
      </c>
    </row>
    <row r="1377" spans="1:6" x14ac:dyDescent="0.2">
      <c r="A1377" s="312" t="s">
        <v>1501</v>
      </c>
      <c r="B1377" s="313" t="s">
        <v>1502</v>
      </c>
      <c r="C1377" s="312" t="s">
        <v>15</v>
      </c>
      <c r="D1377" s="314">
        <v>1428</v>
      </c>
      <c r="E1377" s="313" t="s">
        <v>939</v>
      </c>
      <c r="F1377" s="315" t="str">
        <f>IF(IF(A1377="","",COUNTIF(CONSOLIDADO!$A:$A,$A1377))=0,"REVISAR","OK")</f>
        <v>OK</v>
      </c>
    </row>
    <row r="1378" spans="1:6" x14ac:dyDescent="0.2">
      <c r="A1378" s="312" t="s">
        <v>1501</v>
      </c>
      <c r="B1378" s="313" t="s">
        <v>1502</v>
      </c>
      <c r="C1378" s="312" t="s">
        <v>15</v>
      </c>
      <c r="D1378" s="314">
        <v>1619</v>
      </c>
      <c r="E1378" s="313" t="s">
        <v>945</v>
      </c>
      <c r="F1378" s="315" t="str">
        <f>IF(IF(A1378="","",COUNTIF(CONSOLIDADO!$A:$A,$A1378))=0,"REVISAR","OK")</f>
        <v>OK</v>
      </c>
    </row>
    <row r="1379" spans="1:6" x14ac:dyDescent="0.2">
      <c r="A1379" s="312" t="s">
        <v>1501</v>
      </c>
      <c r="B1379" s="313" t="s">
        <v>1502</v>
      </c>
      <c r="C1379" s="312" t="s">
        <v>15</v>
      </c>
      <c r="D1379" s="314">
        <v>1619</v>
      </c>
      <c r="E1379" s="313" t="s">
        <v>945</v>
      </c>
      <c r="F1379" s="315" t="str">
        <f>IF(IF(A1379="","",COUNTIF(CONSOLIDADO!$A:$A,$A1379))=0,"REVISAR","OK")</f>
        <v>OK</v>
      </c>
    </row>
    <row r="1380" spans="1:6" x14ac:dyDescent="0.2">
      <c r="A1380" s="312" t="s">
        <v>843</v>
      </c>
      <c r="B1380" s="313" t="s">
        <v>482</v>
      </c>
      <c r="C1380" s="312" t="s">
        <v>111</v>
      </c>
      <c r="D1380" s="314">
        <v>333</v>
      </c>
      <c r="E1380" s="313" t="s">
        <v>938</v>
      </c>
      <c r="F1380" s="315" t="str">
        <f>IF(IF(A1380="","",COUNTIF(CONSOLIDADO!$A:$A,$A1380))=0,"REVISAR","OK")</f>
        <v>OK</v>
      </c>
    </row>
    <row r="1381" spans="1:6" x14ac:dyDescent="0.2">
      <c r="A1381" s="312" t="s">
        <v>843</v>
      </c>
      <c r="B1381" s="313" t="s">
        <v>482</v>
      </c>
      <c r="C1381" s="312" t="s">
        <v>111</v>
      </c>
      <c r="D1381" s="314">
        <v>350</v>
      </c>
      <c r="E1381" s="313" t="s">
        <v>2329</v>
      </c>
      <c r="F1381" s="315" t="str">
        <f>IF(IF(A1381="","",COUNTIF(CONSOLIDADO!$A:$A,$A1381))=0,"REVISAR","OK")</f>
        <v>OK</v>
      </c>
    </row>
    <row r="1382" spans="1:6" x14ac:dyDescent="0.2">
      <c r="A1382" s="312" t="s">
        <v>843</v>
      </c>
      <c r="B1382" s="313" t="s">
        <v>482</v>
      </c>
      <c r="C1382" s="312" t="s">
        <v>111</v>
      </c>
      <c r="D1382" s="314">
        <v>476</v>
      </c>
      <c r="E1382" s="313" t="s">
        <v>1115</v>
      </c>
      <c r="F1382" s="315" t="str">
        <f>IF(IF(A1382="","",COUNTIF(CONSOLIDADO!$A:$A,$A1382))=0,"REVISAR","OK")</f>
        <v>OK</v>
      </c>
    </row>
    <row r="1383" spans="1:6" x14ac:dyDescent="0.2">
      <c r="A1383" s="312" t="s">
        <v>843</v>
      </c>
      <c r="B1383" s="313" t="s">
        <v>482</v>
      </c>
      <c r="C1383" s="312" t="s">
        <v>111</v>
      </c>
      <c r="D1383" s="314">
        <v>500</v>
      </c>
      <c r="E1383" s="313" t="s">
        <v>938</v>
      </c>
      <c r="F1383" s="315" t="str">
        <f>IF(IF(A1383="","",COUNTIF(CONSOLIDADO!$A:$A,$A1383))=0,"REVISAR","OK")</f>
        <v>OK</v>
      </c>
    </row>
    <row r="1384" spans="1:6" x14ac:dyDescent="0.2">
      <c r="A1384" s="312" t="s">
        <v>843</v>
      </c>
      <c r="B1384" s="313" t="s">
        <v>482</v>
      </c>
      <c r="C1384" s="312" t="s">
        <v>111</v>
      </c>
      <c r="D1384" s="314">
        <v>535</v>
      </c>
      <c r="E1384" s="313" t="s">
        <v>1115</v>
      </c>
      <c r="F1384" s="315" t="str">
        <f>IF(IF(A1384="","",COUNTIF(CONSOLIDADO!$A:$A,$A1384))=0,"REVISAR","OK")</f>
        <v>OK</v>
      </c>
    </row>
    <row r="1385" spans="1:6" x14ac:dyDescent="0.2">
      <c r="A1385" s="312" t="s">
        <v>843</v>
      </c>
      <c r="B1385" s="313" t="s">
        <v>482</v>
      </c>
      <c r="C1385" s="312" t="s">
        <v>111</v>
      </c>
      <c r="D1385" s="314">
        <v>595</v>
      </c>
      <c r="E1385" s="313" t="s">
        <v>939</v>
      </c>
      <c r="F1385" s="315" t="str">
        <f>IF(IF(A1385="","",COUNTIF(CONSOLIDADO!$A:$A,$A1385))=0,"REVISAR","OK")</f>
        <v>OK</v>
      </c>
    </row>
    <row r="1386" spans="1:6" x14ac:dyDescent="0.2">
      <c r="A1386" s="312" t="s">
        <v>843</v>
      </c>
      <c r="B1386" s="313" t="s">
        <v>482</v>
      </c>
      <c r="C1386" s="312" t="s">
        <v>111</v>
      </c>
      <c r="D1386" s="314">
        <v>600</v>
      </c>
      <c r="E1386" s="313" t="s">
        <v>939</v>
      </c>
      <c r="F1386" s="315" t="str">
        <f>IF(IF(A1386="","",COUNTIF(CONSOLIDADO!$A:$A,$A1386))=0,"REVISAR","OK")</f>
        <v>OK</v>
      </c>
    </row>
    <row r="1387" spans="1:6" x14ac:dyDescent="0.2">
      <c r="A1387" s="312" t="s">
        <v>843</v>
      </c>
      <c r="B1387" s="313" t="s">
        <v>482</v>
      </c>
      <c r="C1387" s="312" t="s">
        <v>111</v>
      </c>
      <c r="D1387" s="314">
        <v>700</v>
      </c>
      <c r="E1387" s="313" t="s">
        <v>938</v>
      </c>
      <c r="F1387" s="315" t="str">
        <f>IF(IF(A1387="","",COUNTIF(CONSOLIDADO!$A:$A,$A1387))=0,"REVISAR","OK")</f>
        <v>OK</v>
      </c>
    </row>
    <row r="1388" spans="1:6" x14ac:dyDescent="0.2">
      <c r="A1388" s="312" t="s">
        <v>843</v>
      </c>
      <c r="B1388" s="313" t="s">
        <v>482</v>
      </c>
      <c r="C1388" s="312" t="s">
        <v>111</v>
      </c>
      <c r="D1388" s="314">
        <v>734</v>
      </c>
      <c r="E1388" s="313" t="s">
        <v>951</v>
      </c>
      <c r="F1388" s="315" t="str">
        <f>IF(IF(A1388="","",COUNTIF(CONSOLIDADO!$A:$A,$A1388))=0,"REVISAR","OK")</f>
        <v>OK</v>
      </c>
    </row>
    <row r="1389" spans="1:6" x14ac:dyDescent="0.2">
      <c r="A1389" s="312" t="s">
        <v>843</v>
      </c>
      <c r="B1389" s="313" t="s">
        <v>482</v>
      </c>
      <c r="C1389" s="312" t="s">
        <v>111</v>
      </c>
      <c r="D1389" s="314">
        <v>790</v>
      </c>
      <c r="E1389" s="313" t="s">
        <v>936</v>
      </c>
      <c r="F1389" s="315" t="str">
        <f>IF(IF(A1389="","",COUNTIF(CONSOLIDADO!$A:$A,$A1389))=0,"REVISAR","OK")</f>
        <v>OK</v>
      </c>
    </row>
    <row r="1390" spans="1:6" x14ac:dyDescent="0.2">
      <c r="A1390" s="312" t="s">
        <v>843</v>
      </c>
      <c r="B1390" s="313" t="s">
        <v>482</v>
      </c>
      <c r="C1390" s="312" t="s">
        <v>111</v>
      </c>
      <c r="D1390" s="314">
        <v>800</v>
      </c>
      <c r="E1390" s="313" t="s">
        <v>944</v>
      </c>
      <c r="F1390" s="315" t="str">
        <f>IF(IF(A1390="","",COUNTIF(CONSOLIDADO!$A:$A,$A1390))=0,"REVISAR","OK")</f>
        <v>OK</v>
      </c>
    </row>
    <row r="1391" spans="1:6" x14ac:dyDescent="0.2">
      <c r="A1391" s="312" t="s">
        <v>843</v>
      </c>
      <c r="B1391" s="313" t="s">
        <v>482</v>
      </c>
      <c r="C1391" s="312" t="s">
        <v>111</v>
      </c>
      <c r="D1391" s="314">
        <v>928</v>
      </c>
      <c r="E1391" s="313" t="s">
        <v>935</v>
      </c>
      <c r="F1391" s="315" t="str">
        <f>IF(IF(A1391="","",COUNTIF(CONSOLIDADO!$A:$A,$A1391))=0,"REVISAR","OK")</f>
        <v>OK</v>
      </c>
    </row>
    <row r="1392" spans="1:6" x14ac:dyDescent="0.2">
      <c r="A1392" s="312" t="s">
        <v>843</v>
      </c>
      <c r="B1392" s="313" t="s">
        <v>482</v>
      </c>
      <c r="C1392" s="312" t="s">
        <v>111</v>
      </c>
      <c r="D1392" s="314">
        <v>928</v>
      </c>
      <c r="E1392" s="313" t="s">
        <v>935</v>
      </c>
      <c r="F1392" s="315" t="str">
        <f>IF(IF(A1392="","",COUNTIF(CONSOLIDADO!$A:$A,$A1392))=0,"REVISAR","OK")</f>
        <v>OK</v>
      </c>
    </row>
    <row r="1393" spans="1:6" x14ac:dyDescent="0.2">
      <c r="A1393" s="312" t="s">
        <v>843</v>
      </c>
      <c r="B1393" s="313" t="s">
        <v>482</v>
      </c>
      <c r="C1393" s="312" t="s">
        <v>111</v>
      </c>
      <c r="D1393" s="314">
        <v>952</v>
      </c>
      <c r="E1393" s="313" t="s">
        <v>999</v>
      </c>
      <c r="F1393" s="315" t="str">
        <f>IF(IF(A1393="","",COUNTIF(CONSOLIDADO!$A:$A,$A1393))=0,"REVISAR","OK")</f>
        <v>OK</v>
      </c>
    </row>
    <row r="1394" spans="1:6" x14ac:dyDescent="0.2">
      <c r="A1394" s="312" t="s">
        <v>843</v>
      </c>
      <c r="B1394" s="313" t="s">
        <v>482</v>
      </c>
      <c r="C1394" s="312" t="s">
        <v>111</v>
      </c>
      <c r="D1394" s="314">
        <v>1035</v>
      </c>
      <c r="E1394" s="313" t="s">
        <v>2070</v>
      </c>
      <c r="F1394" s="315" t="str">
        <f>IF(IF(A1394="","",COUNTIF(CONSOLIDADO!$A:$A,$A1394))=0,"REVISAR","OK")</f>
        <v>OK</v>
      </c>
    </row>
    <row r="1395" spans="1:6" x14ac:dyDescent="0.2">
      <c r="A1395" s="312" t="s">
        <v>843</v>
      </c>
      <c r="B1395" s="313" t="s">
        <v>482</v>
      </c>
      <c r="C1395" s="312" t="s">
        <v>111</v>
      </c>
      <c r="D1395" s="314">
        <v>1389</v>
      </c>
      <c r="E1395" s="313" t="s">
        <v>945</v>
      </c>
      <c r="F1395" s="315" t="str">
        <f>IF(IF(A1395="","",COUNTIF(CONSOLIDADO!$A:$A,$A1395))=0,"REVISAR","OK")</f>
        <v>OK</v>
      </c>
    </row>
    <row r="1396" spans="1:6" x14ac:dyDescent="0.2">
      <c r="A1396" s="312" t="s">
        <v>843</v>
      </c>
      <c r="B1396" s="313" t="s">
        <v>482</v>
      </c>
      <c r="C1396" s="312" t="s">
        <v>111</v>
      </c>
      <c r="D1396" s="314">
        <v>1389</v>
      </c>
      <c r="E1396" s="313" t="s">
        <v>945</v>
      </c>
      <c r="F1396" s="315" t="str">
        <f>IF(IF(A1396="","",COUNTIF(CONSOLIDADO!$A:$A,$A1396))=0,"REVISAR","OK")</f>
        <v>OK</v>
      </c>
    </row>
    <row r="1397" spans="1:6" x14ac:dyDescent="0.2">
      <c r="A1397" s="312" t="s">
        <v>843</v>
      </c>
      <c r="B1397" s="313" t="s">
        <v>482</v>
      </c>
      <c r="C1397" s="312" t="s">
        <v>111</v>
      </c>
      <c r="D1397" s="314">
        <v>2185</v>
      </c>
      <c r="E1397" s="313" t="s">
        <v>933</v>
      </c>
      <c r="F1397" s="315" t="str">
        <f>IF(IF(A1397="","",COUNTIF(CONSOLIDADO!$A:$A,$A1397))=0,"REVISAR","OK")</f>
        <v>OK</v>
      </c>
    </row>
    <row r="1398" spans="1:6" x14ac:dyDescent="0.2">
      <c r="A1398" s="312" t="s">
        <v>843</v>
      </c>
      <c r="B1398" s="313" t="s">
        <v>482</v>
      </c>
      <c r="C1398" s="312" t="s">
        <v>111</v>
      </c>
      <c r="D1398" s="314">
        <v>2189</v>
      </c>
      <c r="E1398" s="313" t="s">
        <v>937</v>
      </c>
      <c r="F1398" s="315" t="str">
        <f>IF(IF(A1398="","",COUNTIF(CONSOLIDADO!$A:$A,$A1398))=0,"REVISAR","OK")</f>
        <v>OK</v>
      </c>
    </row>
    <row r="1399" spans="1:6" x14ac:dyDescent="0.2">
      <c r="A1399" s="312" t="s">
        <v>842</v>
      </c>
      <c r="B1399" s="313" t="s">
        <v>464</v>
      </c>
      <c r="C1399" s="312" t="s">
        <v>15</v>
      </c>
      <c r="D1399" s="314">
        <v>3213</v>
      </c>
      <c r="E1399" s="313" t="s">
        <v>982</v>
      </c>
      <c r="F1399" s="315" t="str">
        <f>IF(IF(A1399="","",COUNTIF(CONSOLIDADO!$A:$A,$A1399))=0,"REVISAR","OK")</f>
        <v>OK</v>
      </c>
    </row>
    <row r="1400" spans="1:6" x14ac:dyDescent="0.2">
      <c r="A1400" s="312" t="s">
        <v>842</v>
      </c>
      <c r="B1400" s="313" t="s">
        <v>464</v>
      </c>
      <c r="C1400" s="312" t="s">
        <v>15</v>
      </c>
      <c r="D1400" s="314">
        <v>3565</v>
      </c>
      <c r="E1400" s="313" t="s">
        <v>949</v>
      </c>
      <c r="F1400" s="315" t="str">
        <f>IF(IF(A1400="","",COUNTIF(CONSOLIDADO!$A:$A,$A1400))=0,"REVISAR","OK")</f>
        <v>OK</v>
      </c>
    </row>
    <row r="1401" spans="1:6" x14ac:dyDescent="0.2">
      <c r="A1401" s="312" t="s">
        <v>741</v>
      </c>
      <c r="B1401" s="313" t="s">
        <v>483</v>
      </c>
      <c r="C1401" s="312" t="s">
        <v>15</v>
      </c>
      <c r="D1401" s="314">
        <v>2500</v>
      </c>
      <c r="E1401" s="313" t="s">
        <v>951</v>
      </c>
      <c r="F1401" s="315" t="str">
        <f>IF(IF(A1401="","",COUNTIF(CONSOLIDADO!$A:$A,$A1401))=0,"REVISAR","OK")</f>
        <v>OK</v>
      </c>
    </row>
    <row r="1402" spans="1:6" x14ac:dyDescent="0.2">
      <c r="A1402" s="312" t="s">
        <v>744</v>
      </c>
      <c r="B1402" s="313" t="s">
        <v>436</v>
      </c>
      <c r="C1402" s="312" t="s">
        <v>15</v>
      </c>
      <c r="D1402" s="314">
        <v>620</v>
      </c>
      <c r="E1402" s="313" t="s">
        <v>951</v>
      </c>
      <c r="F1402" s="315" t="str">
        <f>IF(IF(A1402="","",COUNTIF(CONSOLIDADO!$A:$A,$A1402))=0,"REVISAR","OK")</f>
        <v>OK</v>
      </c>
    </row>
    <row r="1403" spans="1:6" x14ac:dyDescent="0.2">
      <c r="A1403" s="312" t="s">
        <v>744</v>
      </c>
      <c r="B1403" s="313" t="s">
        <v>436</v>
      </c>
      <c r="C1403" s="312" t="s">
        <v>15</v>
      </c>
      <c r="D1403" s="314">
        <v>4428</v>
      </c>
      <c r="E1403" s="313" t="s">
        <v>946</v>
      </c>
      <c r="F1403" s="315" t="str">
        <f>IF(IF(A1403="","",COUNTIF(CONSOLIDADO!$A:$A,$A1403))=0,"REVISAR","OK")</f>
        <v>OK</v>
      </c>
    </row>
    <row r="1404" spans="1:6" x14ac:dyDescent="0.2">
      <c r="A1404" s="312" t="s">
        <v>1509</v>
      </c>
      <c r="B1404" s="313" t="s">
        <v>471</v>
      </c>
      <c r="C1404" s="312" t="s">
        <v>15</v>
      </c>
      <c r="D1404" s="314">
        <v>3439</v>
      </c>
      <c r="E1404" s="313" t="s">
        <v>930</v>
      </c>
      <c r="F1404" s="315" t="str">
        <f>IF(IF(A1404="","",COUNTIF(CONSOLIDADO!$A:$A,$A1404))=0,"REVISAR","OK")</f>
        <v>OK</v>
      </c>
    </row>
    <row r="1405" spans="1:6" x14ac:dyDescent="0.2">
      <c r="A1405" s="312" t="s">
        <v>1509</v>
      </c>
      <c r="B1405" s="313" t="s">
        <v>471</v>
      </c>
      <c r="C1405" s="312" t="s">
        <v>15</v>
      </c>
      <c r="D1405" s="314">
        <v>23800</v>
      </c>
      <c r="E1405" s="313" t="s">
        <v>949</v>
      </c>
      <c r="F1405" s="315" t="str">
        <f>IF(IF(A1405="","",COUNTIF(CONSOLIDADO!$A:$A,$A1405))=0,"REVISAR","OK")</f>
        <v>OK</v>
      </c>
    </row>
    <row r="1406" spans="1:6" x14ac:dyDescent="0.2">
      <c r="A1406" s="312" t="s">
        <v>1874</v>
      </c>
      <c r="B1406" s="313" t="s">
        <v>1875</v>
      </c>
      <c r="C1406" s="312" t="s">
        <v>906</v>
      </c>
      <c r="D1406" s="314">
        <v>2250</v>
      </c>
      <c r="E1406" s="313" t="s">
        <v>929</v>
      </c>
      <c r="F1406" s="315" t="str">
        <f>IF(IF(A1406="","",COUNTIF(CONSOLIDADO!$A:$A,$A1406))=0,"REVISAR","OK")</f>
        <v>OK</v>
      </c>
    </row>
    <row r="1407" spans="1:6" x14ac:dyDescent="0.2">
      <c r="A1407" s="312" t="s">
        <v>807</v>
      </c>
      <c r="B1407" s="313" t="s">
        <v>569</v>
      </c>
      <c r="C1407" s="312" t="s">
        <v>15</v>
      </c>
      <c r="D1407" s="314">
        <v>2261</v>
      </c>
      <c r="E1407" s="313" t="s">
        <v>939</v>
      </c>
      <c r="F1407" s="315" t="str">
        <f>IF(IF(A1407="","",COUNTIF(CONSOLIDADO!$A:$A,$A1407))=0,"REVISAR","OK")</f>
        <v>OK</v>
      </c>
    </row>
    <row r="1408" spans="1:6" x14ac:dyDescent="0.2">
      <c r="A1408" s="312" t="s">
        <v>735</v>
      </c>
      <c r="B1408" s="313" t="s">
        <v>497</v>
      </c>
      <c r="C1408" s="312" t="s">
        <v>981</v>
      </c>
      <c r="D1408" s="314">
        <v>1666</v>
      </c>
      <c r="E1408" s="313" t="s">
        <v>929</v>
      </c>
      <c r="F1408" s="315" t="str">
        <f>IF(IF(A1408="","",COUNTIF(CONSOLIDADO!$A:$A,$A1408))=0,"REVISAR","OK")</f>
        <v>OK</v>
      </c>
    </row>
    <row r="1409" spans="1:6" x14ac:dyDescent="0.2">
      <c r="A1409" s="312" t="s">
        <v>735</v>
      </c>
      <c r="B1409" s="313" t="s">
        <v>497</v>
      </c>
      <c r="C1409" s="312" t="s">
        <v>981</v>
      </c>
      <c r="D1409" s="314">
        <v>5500</v>
      </c>
      <c r="E1409" s="313" t="s">
        <v>2258</v>
      </c>
      <c r="F1409" s="315" t="str">
        <f>IF(IF(A1409="","",COUNTIF(CONSOLIDADO!$A:$A,$A1409))=0,"REVISAR","OK")</f>
        <v>OK</v>
      </c>
    </row>
    <row r="1410" spans="1:6" x14ac:dyDescent="0.2">
      <c r="A1410" s="312" t="s">
        <v>1515</v>
      </c>
      <c r="B1410" s="313" t="s">
        <v>1516</v>
      </c>
      <c r="C1410" s="312" t="s">
        <v>1007</v>
      </c>
      <c r="D1410" s="314">
        <v>800</v>
      </c>
      <c r="E1410" s="313" t="s">
        <v>934</v>
      </c>
      <c r="F1410" s="315" t="str">
        <f>IF(IF(A1410="","",COUNTIF(CONSOLIDADO!$A:$A,$A1410))=0,"REVISAR","OK")</f>
        <v>OK</v>
      </c>
    </row>
    <row r="1411" spans="1:6" x14ac:dyDescent="0.2">
      <c r="A1411" s="312" t="s">
        <v>1517</v>
      </c>
      <c r="B1411" s="313" t="s">
        <v>1518</v>
      </c>
      <c r="C1411" s="312" t="s">
        <v>15</v>
      </c>
      <c r="D1411" s="314">
        <v>2890</v>
      </c>
      <c r="E1411" s="313" t="s">
        <v>951</v>
      </c>
      <c r="F1411" s="315" t="str">
        <f>IF(IF(A1411="","",COUNTIF(CONSOLIDADO!$A:$A,$A1411))=0,"REVISAR","OK")</f>
        <v>OK</v>
      </c>
    </row>
    <row r="1412" spans="1:6" x14ac:dyDescent="0.2">
      <c r="A1412" s="312" t="s">
        <v>1517</v>
      </c>
      <c r="B1412" s="313" t="s">
        <v>1518</v>
      </c>
      <c r="C1412" s="312" t="s">
        <v>15</v>
      </c>
      <c r="D1412" s="314">
        <v>2990</v>
      </c>
      <c r="E1412" s="313" t="s">
        <v>951</v>
      </c>
      <c r="F1412" s="315" t="str">
        <f>IF(IF(A1412="","",COUNTIF(CONSOLIDADO!$A:$A,$A1412))=0,"REVISAR","OK")</f>
        <v>OK</v>
      </c>
    </row>
    <row r="1413" spans="1:6" x14ac:dyDescent="0.2">
      <c r="A1413" s="312" t="s">
        <v>765</v>
      </c>
      <c r="B1413" s="313" t="s">
        <v>498</v>
      </c>
      <c r="C1413" s="312" t="s">
        <v>111</v>
      </c>
      <c r="D1413" s="314">
        <v>194</v>
      </c>
      <c r="E1413" s="313" t="s">
        <v>944</v>
      </c>
      <c r="F1413" s="315" t="str">
        <f>IF(IF(A1413="","",COUNTIF(CONSOLIDADO!$A:$A,$A1413))=0,"REVISAR","OK")</f>
        <v>OK</v>
      </c>
    </row>
    <row r="1414" spans="1:6" x14ac:dyDescent="0.2">
      <c r="A1414" s="312" t="s">
        <v>765</v>
      </c>
      <c r="B1414" s="313" t="s">
        <v>498</v>
      </c>
      <c r="C1414" s="312" t="s">
        <v>111</v>
      </c>
      <c r="D1414" s="314">
        <v>214</v>
      </c>
      <c r="E1414" s="313" t="s">
        <v>982</v>
      </c>
      <c r="F1414" s="315" t="str">
        <f>IF(IF(A1414="","",COUNTIF(CONSOLIDADO!$A:$A,$A1414))=0,"REVISAR","OK")</f>
        <v>OK</v>
      </c>
    </row>
    <row r="1415" spans="1:6" x14ac:dyDescent="0.2">
      <c r="A1415" s="312" t="s">
        <v>765</v>
      </c>
      <c r="B1415" s="313" t="s">
        <v>498</v>
      </c>
      <c r="C1415" s="312" t="s">
        <v>111</v>
      </c>
      <c r="D1415" s="314">
        <v>244</v>
      </c>
      <c r="E1415" s="313" t="s">
        <v>934</v>
      </c>
      <c r="F1415" s="315" t="str">
        <f>IF(IF(A1415="","",COUNTIF(CONSOLIDADO!$A:$A,$A1415))=0,"REVISAR","OK")</f>
        <v>OK</v>
      </c>
    </row>
    <row r="1416" spans="1:6" x14ac:dyDescent="0.2">
      <c r="A1416" s="312" t="s">
        <v>765</v>
      </c>
      <c r="B1416" s="313" t="s">
        <v>498</v>
      </c>
      <c r="C1416" s="312" t="s">
        <v>111</v>
      </c>
      <c r="D1416" s="314">
        <v>280</v>
      </c>
      <c r="E1416" s="313" t="s">
        <v>938</v>
      </c>
      <c r="F1416" s="315" t="str">
        <f>IF(IF(A1416="","",COUNTIF(CONSOLIDADO!$A:$A,$A1416))=0,"REVISAR","OK")</f>
        <v>OK</v>
      </c>
    </row>
    <row r="1417" spans="1:6" x14ac:dyDescent="0.2">
      <c r="A1417" s="312" t="s">
        <v>854</v>
      </c>
      <c r="B1417" s="313" t="s">
        <v>1116</v>
      </c>
      <c r="C1417" s="312" t="s">
        <v>1007</v>
      </c>
      <c r="D1417" s="314">
        <v>2000</v>
      </c>
      <c r="E1417" s="313" t="s">
        <v>2274</v>
      </c>
      <c r="F1417" s="315" t="str">
        <f>IF(IF(A1417="","",COUNTIF(CONSOLIDADO!$A:$A,$A1417))=0,"REVISAR","OK")</f>
        <v>OK</v>
      </c>
    </row>
    <row r="1418" spans="1:6" x14ac:dyDescent="0.2">
      <c r="A1418" s="312" t="s">
        <v>854</v>
      </c>
      <c r="B1418" s="313" t="s">
        <v>1116</v>
      </c>
      <c r="C1418" s="312" t="s">
        <v>1007</v>
      </c>
      <c r="D1418" s="314">
        <v>2278</v>
      </c>
      <c r="E1418" s="313" t="s">
        <v>929</v>
      </c>
      <c r="F1418" s="315" t="str">
        <f>IF(IF(A1418="","",COUNTIF(CONSOLIDADO!$A:$A,$A1418))=0,"REVISAR","OK")</f>
        <v>OK</v>
      </c>
    </row>
    <row r="1419" spans="1:6" x14ac:dyDescent="0.2">
      <c r="A1419" s="312" t="s">
        <v>854</v>
      </c>
      <c r="B1419" s="313" t="s">
        <v>1116</v>
      </c>
      <c r="C1419" s="312" t="s">
        <v>1007</v>
      </c>
      <c r="D1419" s="314">
        <v>3332</v>
      </c>
      <c r="E1419" s="313" t="s">
        <v>938</v>
      </c>
      <c r="F1419" s="315" t="str">
        <f>IF(IF(A1419="","",COUNTIF(CONSOLIDADO!$A:$A,$A1419))=0,"REVISAR","OK")</f>
        <v>OK</v>
      </c>
    </row>
    <row r="1420" spans="1:6" x14ac:dyDescent="0.2">
      <c r="A1420" s="312" t="s">
        <v>854</v>
      </c>
      <c r="B1420" s="313" t="s">
        <v>1116</v>
      </c>
      <c r="C1420" s="312" t="s">
        <v>1007</v>
      </c>
      <c r="D1420" s="314">
        <v>3890</v>
      </c>
      <c r="E1420" s="313" t="s">
        <v>951</v>
      </c>
      <c r="F1420" s="315" t="str">
        <f>IF(IF(A1420="","",COUNTIF(CONSOLIDADO!$A:$A,$A1420))=0,"REVISAR","OK")</f>
        <v>OK</v>
      </c>
    </row>
    <row r="1421" spans="1:6" x14ac:dyDescent="0.2">
      <c r="A1421" s="312" t="s">
        <v>854</v>
      </c>
      <c r="B1421" s="313" t="s">
        <v>1116</v>
      </c>
      <c r="C1421" s="312" t="s">
        <v>1007</v>
      </c>
      <c r="D1421" s="314">
        <v>4522</v>
      </c>
      <c r="E1421" s="313" t="s">
        <v>1115</v>
      </c>
      <c r="F1421" s="315" t="str">
        <f>IF(IF(A1421="","",COUNTIF(CONSOLIDADO!$A:$A,$A1421))=0,"REVISAR","OK")</f>
        <v>OK</v>
      </c>
    </row>
    <row r="1422" spans="1:6" x14ac:dyDescent="0.2">
      <c r="A1422" s="312" t="s">
        <v>854</v>
      </c>
      <c r="B1422" s="313" t="s">
        <v>1116</v>
      </c>
      <c r="C1422" s="312" t="s">
        <v>1007</v>
      </c>
      <c r="D1422" s="314">
        <v>4740</v>
      </c>
      <c r="E1422" s="313" t="s">
        <v>951</v>
      </c>
      <c r="F1422" s="315" t="str">
        <f>IF(IF(A1422="","",COUNTIF(CONSOLIDADO!$A:$A,$A1422))=0,"REVISAR","OK")</f>
        <v>OK</v>
      </c>
    </row>
    <row r="1423" spans="1:6" x14ac:dyDescent="0.2">
      <c r="A1423" s="312" t="s">
        <v>854</v>
      </c>
      <c r="B1423" s="313" t="s">
        <v>1116</v>
      </c>
      <c r="C1423" s="312" t="s">
        <v>1007</v>
      </c>
      <c r="D1423" s="314">
        <v>4746</v>
      </c>
      <c r="E1423" s="313" t="s">
        <v>2005</v>
      </c>
      <c r="F1423" s="315" t="str">
        <f>IF(IF(A1423="","",COUNTIF(CONSOLIDADO!$A:$A,$A1423))=0,"REVISAR","OK")</f>
        <v>OK</v>
      </c>
    </row>
    <row r="1424" spans="1:6" x14ac:dyDescent="0.2">
      <c r="A1424" s="312" t="s">
        <v>854</v>
      </c>
      <c r="B1424" s="313" t="s">
        <v>1116</v>
      </c>
      <c r="C1424" s="312" t="s">
        <v>1007</v>
      </c>
      <c r="D1424" s="314">
        <v>4986</v>
      </c>
      <c r="E1424" s="313" t="s">
        <v>946</v>
      </c>
      <c r="F1424" s="315" t="str">
        <f>IF(IF(A1424="","",COUNTIF(CONSOLIDADO!$A:$A,$A1424))=0,"REVISAR","OK")</f>
        <v>OK</v>
      </c>
    </row>
    <row r="1425" spans="1:6" x14ac:dyDescent="0.2">
      <c r="A1425" s="312" t="s">
        <v>854</v>
      </c>
      <c r="B1425" s="313" t="s">
        <v>1116</v>
      </c>
      <c r="C1425" s="312" t="s">
        <v>1007</v>
      </c>
      <c r="D1425" s="314">
        <v>5249</v>
      </c>
      <c r="E1425" s="313" t="s">
        <v>949</v>
      </c>
      <c r="F1425" s="315" t="str">
        <f>IF(IF(A1425="","",COUNTIF(CONSOLIDADO!$A:$A,$A1425))=0,"REVISAR","OK")</f>
        <v>OK</v>
      </c>
    </row>
    <row r="1426" spans="1:6" x14ac:dyDescent="0.2">
      <c r="A1426" s="312" t="s">
        <v>854</v>
      </c>
      <c r="B1426" s="313" t="s">
        <v>1116</v>
      </c>
      <c r="C1426" s="312" t="s">
        <v>1007</v>
      </c>
      <c r="D1426" s="314">
        <v>5395</v>
      </c>
      <c r="E1426" s="313" t="s">
        <v>934</v>
      </c>
      <c r="F1426" s="315" t="str">
        <f>IF(IF(A1426="","",COUNTIF(CONSOLIDADO!$A:$A,$A1426))=0,"REVISAR","OK")</f>
        <v>OK</v>
      </c>
    </row>
    <row r="1427" spans="1:6" x14ac:dyDescent="0.2">
      <c r="A1427" s="312" t="s">
        <v>854</v>
      </c>
      <c r="B1427" s="313" t="s">
        <v>1116</v>
      </c>
      <c r="C1427" s="312" t="s">
        <v>1007</v>
      </c>
      <c r="D1427" s="314">
        <v>5426</v>
      </c>
      <c r="E1427" s="313" t="s">
        <v>933</v>
      </c>
      <c r="F1427" s="315" t="str">
        <f>IF(IF(A1427="","",COUNTIF(CONSOLIDADO!$A:$A,$A1427))=0,"REVISAR","OK")</f>
        <v>OK</v>
      </c>
    </row>
    <row r="1428" spans="1:6" x14ac:dyDescent="0.2">
      <c r="A1428" s="312" t="s">
        <v>854</v>
      </c>
      <c r="B1428" s="313" t="s">
        <v>1116</v>
      </c>
      <c r="C1428" s="312" t="s">
        <v>1007</v>
      </c>
      <c r="D1428" s="314">
        <v>5590</v>
      </c>
      <c r="E1428" s="313" t="s">
        <v>944</v>
      </c>
      <c r="F1428" s="315" t="str">
        <f>IF(IF(A1428="","",COUNTIF(CONSOLIDADO!$A:$A,$A1428))=0,"REVISAR","OK")</f>
        <v>OK</v>
      </c>
    </row>
    <row r="1429" spans="1:6" x14ac:dyDescent="0.2">
      <c r="A1429" s="312" t="s">
        <v>854</v>
      </c>
      <c r="B1429" s="313" t="s">
        <v>1116</v>
      </c>
      <c r="C1429" s="312" t="s">
        <v>1007</v>
      </c>
      <c r="D1429" s="314">
        <v>7119</v>
      </c>
      <c r="E1429" s="313" t="s">
        <v>934</v>
      </c>
      <c r="F1429" s="315" t="str">
        <f>IF(IF(A1429="","",COUNTIF(CONSOLIDADO!$A:$A,$A1429))=0,"REVISAR","OK")</f>
        <v>OK</v>
      </c>
    </row>
    <row r="1430" spans="1:6" x14ac:dyDescent="0.2">
      <c r="A1430" s="312" t="s">
        <v>1121</v>
      </c>
      <c r="B1430" s="313" t="s">
        <v>1122</v>
      </c>
      <c r="C1430" s="312" t="s">
        <v>15</v>
      </c>
      <c r="D1430" s="314">
        <v>1199</v>
      </c>
      <c r="E1430" s="313" t="s">
        <v>945</v>
      </c>
      <c r="F1430" s="315" t="str">
        <f>IF(IF(A1430="","",COUNTIF(CONSOLIDADO!$A:$A,$A1430))=0,"REVISAR","OK")</f>
        <v>OK</v>
      </c>
    </row>
    <row r="1431" spans="1:6" x14ac:dyDescent="0.2">
      <c r="A1431" s="312" t="s">
        <v>1121</v>
      </c>
      <c r="B1431" s="313" t="s">
        <v>1122</v>
      </c>
      <c r="C1431" s="312" t="s">
        <v>15</v>
      </c>
      <c r="D1431" s="314">
        <v>1500</v>
      </c>
      <c r="E1431" s="313" t="s">
        <v>944</v>
      </c>
      <c r="F1431" s="315" t="str">
        <f>IF(IF(A1431="","",COUNTIF(CONSOLIDADO!$A:$A,$A1431))=0,"REVISAR","OK")</f>
        <v>OK</v>
      </c>
    </row>
    <row r="1432" spans="1:6" x14ac:dyDescent="0.2">
      <c r="A1432" s="312" t="s">
        <v>1125</v>
      </c>
      <c r="B1432" s="313" t="s">
        <v>395</v>
      </c>
      <c r="C1432" s="312" t="s">
        <v>906</v>
      </c>
      <c r="D1432" s="314">
        <v>700</v>
      </c>
      <c r="E1432" s="313" t="s">
        <v>930</v>
      </c>
      <c r="F1432" s="315" t="str">
        <f>IF(IF(A1432="","",COUNTIF(CONSOLIDADO!$A:$A,$A1432))=0,"REVISAR","OK")</f>
        <v>OK</v>
      </c>
    </row>
    <row r="1433" spans="1:6" x14ac:dyDescent="0.2">
      <c r="A1433" s="312" t="s">
        <v>1126</v>
      </c>
      <c r="B1433" s="313" t="s">
        <v>484</v>
      </c>
      <c r="C1433" s="312" t="s">
        <v>111</v>
      </c>
      <c r="D1433" s="314">
        <v>654</v>
      </c>
      <c r="E1433" s="313" t="s">
        <v>931</v>
      </c>
      <c r="F1433" s="315" t="str">
        <f>IF(IF(A1433="","",COUNTIF(CONSOLIDADO!$A:$A,$A1433))=0,"REVISAR","OK")</f>
        <v>OK</v>
      </c>
    </row>
    <row r="1434" spans="1:6" x14ac:dyDescent="0.2">
      <c r="A1434" s="312" t="s">
        <v>1126</v>
      </c>
      <c r="B1434" s="313" t="s">
        <v>484</v>
      </c>
      <c r="C1434" s="312" t="s">
        <v>111</v>
      </c>
      <c r="D1434" s="314">
        <v>676</v>
      </c>
      <c r="E1434" s="313" t="s">
        <v>932</v>
      </c>
      <c r="F1434" s="315" t="str">
        <f>IF(IF(A1434="","",COUNTIF(CONSOLIDADO!$A:$A,$A1434))=0,"REVISAR","OK")</f>
        <v>OK</v>
      </c>
    </row>
    <row r="1435" spans="1:6" x14ac:dyDescent="0.2">
      <c r="A1435" s="312" t="s">
        <v>1126</v>
      </c>
      <c r="B1435" s="313" t="s">
        <v>484</v>
      </c>
      <c r="C1435" s="312" t="s">
        <v>111</v>
      </c>
      <c r="D1435" s="314">
        <v>719</v>
      </c>
      <c r="E1435" s="313" t="s">
        <v>2005</v>
      </c>
      <c r="F1435" s="315" t="str">
        <f>IF(IF(A1435="","",COUNTIF(CONSOLIDADO!$A:$A,$A1435))=0,"REVISAR","OK")</f>
        <v>OK</v>
      </c>
    </row>
    <row r="1436" spans="1:6" x14ac:dyDescent="0.2">
      <c r="A1436" s="312" t="s">
        <v>1126</v>
      </c>
      <c r="B1436" s="313" t="s">
        <v>484</v>
      </c>
      <c r="C1436" s="312" t="s">
        <v>111</v>
      </c>
      <c r="D1436" s="314">
        <v>737</v>
      </c>
      <c r="E1436" s="313" t="s">
        <v>2146</v>
      </c>
      <c r="F1436" s="315" t="str">
        <f>IF(IF(A1436="","",COUNTIF(CONSOLIDADO!$A:$A,$A1436))=0,"REVISAR","OK")</f>
        <v>OK</v>
      </c>
    </row>
    <row r="1437" spans="1:6" x14ac:dyDescent="0.2">
      <c r="A1437" s="312" t="s">
        <v>1126</v>
      </c>
      <c r="B1437" s="313" t="s">
        <v>484</v>
      </c>
      <c r="C1437" s="312" t="s">
        <v>111</v>
      </c>
      <c r="D1437" s="314">
        <v>772</v>
      </c>
      <c r="E1437" s="313" t="s">
        <v>2233</v>
      </c>
      <c r="F1437" s="315" t="str">
        <f>IF(IF(A1437="","",COUNTIF(CONSOLIDADO!$A:$A,$A1437))=0,"REVISAR","OK")</f>
        <v>OK</v>
      </c>
    </row>
    <row r="1438" spans="1:6" x14ac:dyDescent="0.2">
      <c r="A1438" s="312" t="s">
        <v>1126</v>
      </c>
      <c r="B1438" s="313" t="s">
        <v>484</v>
      </c>
      <c r="C1438" s="312" t="s">
        <v>111</v>
      </c>
      <c r="D1438" s="314">
        <v>773</v>
      </c>
      <c r="E1438" s="313" t="s">
        <v>2210</v>
      </c>
      <c r="F1438" s="315" t="str">
        <f>IF(IF(A1438="","",COUNTIF(CONSOLIDADO!$A:$A,$A1438))=0,"REVISAR","OK")</f>
        <v>OK</v>
      </c>
    </row>
    <row r="1439" spans="1:6" x14ac:dyDescent="0.2">
      <c r="A1439" s="312" t="s">
        <v>1126</v>
      </c>
      <c r="B1439" s="313" t="s">
        <v>484</v>
      </c>
      <c r="C1439" s="312" t="s">
        <v>111</v>
      </c>
      <c r="D1439" s="314">
        <v>830</v>
      </c>
      <c r="E1439" s="313" t="s">
        <v>944</v>
      </c>
      <c r="F1439" s="315" t="str">
        <f>IF(IF(A1439="","",COUNTIF(CONSOLIDADO!$A:$A,$A1439))=0,"REVISAR","OK")</f>
        <v>OK</v>
      </c>
    </row>
    <row r="1440" spans="1:6" x14ac:dyDescent="0.2">
      <c r="A1440" s="312" t="s">
        <v>1126</v>
      </c>
      <c r="B1440" s="313" t="s">
        <v>484</v>
      </c>
      <c r="C1440" s="312" t="s">
        <v>111</v>
      </c>
      <c r="D1440" s="314">
        <v>850</v>
      </c>
      <c r="E1440" s="313" t="s">
        <v>944</v>
      </c>
      <c r="F1440" s="315" t="str">
        <f>IF(IF(A1440="","",COUNTIF(CONSOLIDADO!$A:$A,$A1440))=0,"REVISAR","OK")</f>
        <v>OK</v>
      </c>
    </row>
    <row r="1441" spans="1:6" x14ac:dyDescent="0.2">
      <c r="A1441" s="312" t="s">
        <v>1126</v>
      </c>
      <c r="B1441" s="313" t="s">
        <v>484</v>
      </c>
      <c r="C1441" s="312" t="s">
        <v>111</v>
      </c>
      <c r="D1441" s="314">
        <v>892</v>
      </c>
      <c r="E1441" s="313" t="s">
        <v>2275</v>
      </c>
      <c r="F1441" s="315" t="str">
        <f>IF(IF(A1441="","",COUNTIF(CONSOLIDADO!$A:$A,$A1441))=0,"REVISAR","OK")</f>
        <v>OK</v>
      </c>
    </row>
    <row r="1442" spans="1:6" x14ac:dyDescent="0.2">
      <c r="A1442" s="312" t="s">
        <v>1126</v>
      </c>
      <c r="B1442" s="313" t="s">
        <v>484</v>
      </c>
      <c r="C1442" s="312" t="s">
        <v>111</v>
      </c>
      <c r="D1442" s="314">
        <v>1178</v>
      </c>
      <c r="E1442" s="313" t="s">
        <v>2210</v>
      </c>
      <c r="F1442" s="315" t="str">
        <f>IF(IF(A1442="","",COUNTIF(CONSOLIDADO!$A:$A,$A1442))=0,"REVISAR","OK")</f>
        <v>OK</v>
      </c>
    </row>
    <row r="1443" spans="1:6" x14ac:dyDescent="0.2">
      <c r="A1443" s="312" t="s">
        <v>1126</v>
      </c>
      <c r="B1443" s="313" t="s">
        <v>484</v>
      </c>
      <c r="C1443" s="312" t="s">
        <v>111</v>
      </c>
      <c r="D1443" s="314">
        <v>1190</v>
      </c>
      <c r="E1443" s="313" t="s">
        <v>982</v>
      </c>
      <c r="F1443" s="315" t="str">
        <f>IF(IF(A1443="","",COUNTIF(CONSOLIDADO!$A:$A,$A1443))=0,"REVISAR","OK")</f>
        <v>OK</v>
      </c>
    </row>
    <row r="1444" spans="1:6" x14ac:dyDescent="0.2">
      <c r="A1444" s="312" t="s">
        <v>1126</v>
      </c>
      <c r="B1444" s="313" t="s">
        <v>484</v>
      </c>
      <c r="C1444" s="312" t="s">
        <v>111</v>
      </c>
      <c r="D1444" s="314">
        <v>1233</v>
      </c>
      <c r="E1444" s="313" t="s">
        <v>950</v>
      </c>
      <c r="F1444" s="315" t="str">
        <f>IF(IF(A1444="","",COUNTIF(CONSOLIDADO!$A:$A,$A1444))=0,"REVISAR","OK")</f>
        <v>OK</v>
      </c>
    </row>
    <row r="1445" spans="1:6" x14ac:dyDescent="0.2">
      <c r="A1445" s="312" t="s">
        <v>1126</v>
      </c>
      <c r="B1445" s="313" t="s">
        <v>484</v>
      </c>
      <c r="C1445" s="312" t="s">
        <v>111</v>
      </c>
      <c r="D1445" s="314">
        <v>1309</v>
      </c>
      <c r="E1445" s="313" t="s">
        <v>939</v>
      </c>
      <c r="F1445" s="315" t="str">
        <f>IF(IF(A1445="","",COUNTIF(CONSOLIDADO!$A:$A,$A1445))=0,"REVISAR","OK")</f>
        <v>OK</v>
      </c>
    </row>
    <row r="1446" spans="1:6" x14ac:dyDescent="0.2">
      <c r="A1446" s="312" t="s">
        <v>1126</v>
      </c>
      <c r="B1446" s="313" t="s">
        <v>484</v>
      </c>
      <c r="C1446" s="312" t="s">
        <v>111</v>
      </c>
      <c r="D1446" s="314">
        <v>1400</v>
      </c>
      <c r="E1446" s="313" t="s">
        <v>2233</v>
      </c>
      <c r="F1446" s="315" t="str">
        <f>IF(IF(A1446="","",COUNTIF(CONSOLIDADO!$A:$A,$A1446))=0,"REVISAR","OK")</f>
        <v>OK</v>
      </c>
    </row>
    <row r="1447" spans="1:6" x14ac:dyDescent="0.2">
      <c r="A1447" s="312" t="s">
        <v>1126</v>
      </c>
      <c r="B1447" s="313" t="s">
        <v>484</v>
      </c>
      <c r="C1447" s="312" t="s">
        <v>111</v>
      </c>
      <c r="D1447" s="314">
        <v>1428</v>
      </c>
      <c r="E1447" s="313" t="s">
        <v>982</v>
      </c>
      <c r="F1447" s="315" t="str">
        <f>IF(IF(A1447="","",COUNTIF(CONSOLIDADO!$A:$A,$A1447))=0,"REVISAR","OK")</f>
        <v>OK</v>
      </c>
    </row>
    <row r="1448" spans="1:6" x14ac:dyDescent="0.2">
      <c r="A1448" s="312" t="s">
        <v>1126</v>
      </c>
      <c r="B1448" s="313" t="s">
        <v>484</v>
      </c>
      <c r="C1448" s="312" t="s">
        <v>111</v>
      </c>
      <c r="D1448" s="314">
        <v>1800</v>
      </c>
      <c r="E1448" s="313" t="s">
        <v>974</v>
      </c>
      <c r="F1448" s="315" t="str">
        <f>IF(IF(A1448="","",COUNTIF(CONSOLIDADO!$A:$A,$A1448))=0,"REVISAR","OK")</f>
        <v>OK</v>
      </c>
    </row>
    <row r="1449" spans="1:6" x14ac:dyDescent="0.2">
      <c r="A1449" s="312" t="s">
        <v>1126</v>
      </c>
      <c r="B1449" s="313" t="s">
        <v>484</v>
      </c>
      <c r="C1449" s="312" t="s">
        <v>111</v>
      </c>
      <c r="D1449" s="314">
        <v>1940</v>
      </c>
      <c r="E1449" s="313" t="s">
        <v>2176</v>
      </c>
      <c r="F1449" s="315" t="str">
        <f>IF(IF(A1449="","",COUNTIF(CONSOLIDADO!$A:$A,$A1449))=0,"REVISAR","OK")</f>
        <v>OK</v>
      </c>
    </row>
    <row r="1450" spans="1:6" x14ac:dyDescent="0.2">
      <c r="A1450" s="312" t="s">
        <v>1126</v>
      </c>
      <c r="B1450" s="313" t="s">
        <v>484</v>
      </c>
      <c r="C1450" s="312" t="s">
        <v>111</v>
      </c>
      <c r="D1450" s="314">
        <v>2000</v>
      </c>
      <c r="E1450" s="313" t="s">
        <v>2274</v>
      </c>
      <c r="F1450" s="315" t="str">
        <f>IF(IF(A1450="","",COUNTIF(CONSOLIDADO!$A:$A,$A1450))=0,"REVISAR","OK")</f>
        <v>OK</v>
      </c>
    </row>
    <row r="1451" spans="1:6" x14ac:dyDescent="0.2">
      <c r="A1451" s="312" t="s">
        <v>1126</v>
      </c>
      <c r="B1451" s="313" t="s">
        <v>484</v>
      </c>
      <c r="C1451" s="312" t="s">
        <v>111</v>
      </c>
      <c r="D1451" s="314">
        <v>2650</v>
      </c>
      <c r="E1451" s="313" t="s">
        <v>940</v>
      </c>
      <c r="F1451" s="315" t="str">
        <f>IF(IF(A1451="","",COUNTIF(CONSOLIDADO!$A:$A,$A1451))=0,"REVISAR","OK")</f>
        <v>OK</v>
      </c>
    </row>
    <row r="1452" spans="1:6" x14ac:dyDescent="0.2">
      <c r="A1452" s="312" t="s">
        <v>1126</v>
      </c>
      <c r="B1452" s="313" t="s">
        <v>484</v>
      </c>
      <c r="C1452" s="312" t="s">
        <v>111</v>
      </c>
      <c r="D1452" s="314">
        <v>2650</v>
      </c>
      <c r="E1452" s="313" t="s">
        <v>974</v>
      </c>
      <c r="F1452" s="315" t="str">
        <f>IF(IF(A1452="","",COUNTIF(CONSOLIDADO!$A:$A,$A1452))=0,"REVISAR","OK")</f>
        <v>OK</v>
      </c>
    </row>
    <row r="1453" spans="1:6" x14ac:dyDescent="0.2">
      <c r="A1453" s="312" t="s">
        <v>1127</v>
      </c>
      <c r="B1453" s="313" t="s">
        <v>1128</v>
      </c>
      <c r="C1453" s="312" t="s">
        <v>111</v>
      </c>
      <c r="D1453" s="314">
        <v>1389</v>
      </c>
      <c r="E1453" s="313" t="s">
        <v>945</v>
      </c>
      <c r="F1453" s="315" t="str">
        <f>IF(IF(A1453="","",COUNTIF(CONSOLIDADO!$A:$A,$A1453))=0,"REVISAR","OK")</f>
        <v>OK</v>
      </c>
    </row>
    <row r="1454" spans="1:6" x14ac:dyDescent="0.2">
      <c r="A1454" s="312" t="s">
        <v>771</v>
      </c>
      <c r="B1454" s="313" t="s">
        <v>465</v>
      </c>
      <c r="C1454" s="312" t="s">
        <v>973</v>
      </c>
      <c r="D1454" s="314">
        <v>238</v>
      </c>
      <c r="E1454" s="313" t="s">
        <v>939</v>
      </c>
      <c r="F1454" s="315" t="str">
        <f>IF(IF(A1454="","",COUNTIF(CONSOLIDADO!$A:$A,$A1454))=0,"REVISAR","OK")</f>
        <v>OK</v>
      </c>
    </row>
    <row r="1455" spans="1:6" x14ac:dyDescent="0.2">
      <c r="A1455" s="312" t="s">
        <v>771</v>
      </c>
      <c r="B1455" s="313" t="s">
        <v>465</v>
      </c>
      <c r="C1455" s="312" t="s">
        <v>973</v>
      </c>
      <c r="D1455" s="314">
        <v>274</v>
      </c>
      <c r="E1455" s="313" t="s">
        <v>930</v>
      </c>
      <c r="F1455" s="315" t="str">
        <f>IF(IF(A1455="","",COUNTIF(CONSOLIDADO!$A:$A,$A1455))=0,"REVISAR","OK")</f>
        <v>OK</v>
      </c>
    </row>
    <row r="1456" spans="1:6" x14ac:dyDescent="0.2">
      <c r="A1456" s="312" t="s">
        <v>1535</v>
      </c>
      <c r="B1456" s="313" t="s">
        <v>184</v>
      </c>
      <c r="C1456" s="312" t="s">
        <v>906</v>
      </c>
      <c r="D1456" s="314">
        <v>3332</v>
      </c>
      <c r="E1456" s="313" t="s">
        <v>982</v>
      </c>
      <c r="F1456" s="315" t="str">
        <f>IF(IF(A1456="","",COUNTIF(CONSOLIDADO!$A:$A,$A1456))=0,"REVISAR","OK")</f>
        <v>OK</v>
      </c>
    </row>
    <row r="1457" spans="1:6" x14ac:dyDescent="0.2">
      <c r="A1457" s="312" t="s">
        <v>1129</v>
      </c>
      <c r="B1457" s="313" t="s">
        <v>1130</v>
      </c>
      <c r="C1457" s="312" t="s">
        <v>906</v>
      </c>
      <c r="D1457" s="314">
        <v>2856</v>
      </c>
      <c r="E1457" s="313" t="s">
        <v>2146</v>
      </c>
      <c r="F1457" s="315" t="str">
        <f>IF(IF(A1457="","",COUNTIF(CONSOLIDADO!$A:$A,$A1457))=0,"REVISAR","OK")</f>
        <v>OK</v>
      </c>
    </row>
    <row r="1458" spans="1:6" x14ac:dyDescent="0.2">
      <c r="A1458" s="312" t="s">
        <v>1129</v>
      </c>
      <c r="B1458" s="313" t="s">
        <v>1130</v>
      </c>
      <c r="C1458" s="312" t="s">
        <v>906</v>
      </c>
      <c r="D1458" s="314">
        <v>3332</v>
      </c>
      <c r="E1458" s="313" t="s">
        <v>982</v>
      </c>
      <c r="F1458" s="315" t="str">
        <f>IF(IF(A1458="","",COUNTIF(CONSOLIDADO!$A:$A,$A1458))=0,"REVISAR","OK")</f>
        <v>OK</v>
      </c>
    </row>
    <row r="1459" spans="1:6" x14ac:dyDescent="0.2">
      <c r="A1459" s="312" t="s">
        <v>697</v>
      </c>
      <c r="B1459" s="313" t="s">
        <v>449</v>
      </c>
      <c r="C1459" s="312" t="s">
        <v>111</v>
      </c>
      <c r="D1459" s="314">
        <v>154</v>
      </c>
      <c r="E1459" s="313" t="s">
        <v>939</v>
      </c>
      <c r="F1459" s="315" t="str">
        <f>IF(IF(A1459="","",COUNTIF(CONSOLIDADO!$A:$A,$A1459))=0,"REVISAR","OK")</f>
        <v>OK</v>
      </c>
    </row>
    <row r="1460" spans="1:6" x14ac:dyDescent="0.2">
      <c r="A1460" s="312" t="s">
        <v>697</v>
      </c>
      <c r="B1460" s="313" t="s">
        <v>449</v>
      </c>
      <c r="C1460" s="312" t="s">
        <v>111</v>
      </c>
      <c r="D1460" s="314">
        <v>202</v>
      </c>
      <c r="E1460" s="313" t="s">
        <v>936</v>
      </c>
      <c r="F1460" s="315" t="str">
        <f>IF(IF(A1460="","",COUNTIF(CONSOLIDADO!$A:$A,$A1460))=0,"REVISAR","OK")</f>
        <v>OK</v>
      </c>
    </row>
    <row r="1461" spans="1:6" x14ac:dyDescent="0.2">
      <c r="A1461" s="312" t="s">
        <v>697</v>
      </c>
      <c r="B1461" s="313" t="s">
        <v>449</v>
      </c>
      <c r="C1461" s="312" t="s">
        <v>111</v>
      </c>
      <c r="D1461" s="314">
        <v>232</v>
      </c>
      <c r="E1461" s="313" t="s">
        <v>2070</v>
      </c>
      <c r="F1461" s="315" t="str">
        <f>IF(IF(A1461="","",COUNTIF(CONSOLIDADO!$A:$A,$A1461))=0,"REVISAR","OK")</f>
        <v>OK</v>
      </c>
    </row>
    <row r="1462" spans="1:6" x14ac:dyDescent="0.2">
      <c r="A1462" s="312" t="s">
        <v>697</v>
      </c>
      <c r="B1462" s="313" t="s">
        <v>449</v>
      </c>
      <c r="C1462" s="312" t="s">
        <v>111</v>
      </c>
      <c r="D1462" s="314">
        <v>2970</v>
      </c>
      <c r="E1462" s="313" t="s">
        <v>943</v>
      </c>
      <c r="F1462" s="315" t="str">
        <f>IF(IF(A1462="","",COUNTIF(CONSOLIDADO!$A:$A,$A1462))=0,"REVISAR","OK")</f>
        <v>OK</v>
      </c>
    </row>
    <row r="1463" spans="1:6" x14ac:dyDescent="0.2">
      <c r="A1463" s="312" t="s">
        <v>781</v>
      </c>
      <c r="B1463" s="313" t="s">
        <v>1540</v>
      </c>
      <c r="C1463" s="312" t="s">
        <v>111</v>
      </c>
      <c r="D1463" s="314">
        <v>300</v>
      </c>
      <c r="E1463" s="313" t="s">
        <v>943</v>
      </c>
      <c r="F1463" s="315" t="str">
        <f>IF(IF(A1463="","",COUNTIF(CONSOLIDADO!$A:$A,$A1463))=0,"REVISAR","OK")</f>
        <v>OK</v>
      </c>
    </row>
    <row r="1464" spans="1:6" x14ac:dyDescent="0.2">
      <c r="A1464" s="312" t="s">
        <v>781</v>
      </c>
      <c r="B1464" s="313" t="s">
        <v>1540</v>
      </c>
      <c r="C1464" s="312" t="s">
        <v>111</v>
      </c>
      <c r="D1464" s="314">
        <v>428</v>
      </c>
      <c r="E1464" s="313" t="s">
        <v>1115</v>
      </c>
      <c r="F1464" s="315" t="str">
        <f>IF(IF(A1464="","",COUNTIF(CONSOLIDADO!$A:$A,$A1464))=0,"REVISAR","OK")</f>
        <v>OK</v>
      </c>
    </row>
    <row r="1465" spans="1:6" x14ac:dyDescent="0.2">
      <c r="A1465" s="312" t="s">
        <v>781</v>
      </c>
      <c r="B1465" s="313" t="s">
        <v>1540</v>
      </c>
      <c r="C1465" s="312" t="s">
        <v>111</v>
      </c>
      <c r="D1465" s="314">
        <v>720</v>
      </c>
      <c r="E1465" s="313" t="s">
        <v>943</v>
      </c>
      <c r="F1465" s="315" t="str">
        <f>IF(IF(A1465="","",COUNTIF(CONSOLIDADO!$A:$A,$A1465))=0,"REVISAR","OK")</f>
        <v>OK</v>
      </c>
    </row>
    <row r="1466" spans="1:6" x14ac:dyDescent="0.2">
      <c r="A1466" s="312" t="s">
        <v>709</v>
      </c>
      <c r="B1466" s="313" t="s">
        <v>466</v>
      </c>
      <c r="C1466" s="312" t="s">
        <v>111</v>
      </c>
      <c r="D1466" s="314">
        <v>357</v>
      </c>
      <c r="E1466" s="313" t="s">
        <v>949</v>
      </c>
      <c r="F1466" s="315" t="str">
        <f>IF(IF(A1466="","",COUNTIF(CONSOLIDADO!$A:$A,$A1466))=0,"REVISAR","OK")</f>
        <v>OK</v>
      </c>
    </row>
    <row r="1467" spans="1:6" x14ac:dyDescent="0.2">
      <c r="A1467" s="312" t="s">
        <v>709</v>
      </c>
      <c r="B1467" s="313" t="s">
        <v>466</v>
      </c>
      <c r="C1467" s="312" t="s">
        <v>111</v>
      </c>
      <c r="D1467" s="314">
        <v>544</v>
      </c>
      <c r="E1467" s="313" t="s">
        <v>2005</v>
      </c>
      <c r="F1467" s="315" t="str">
        <f>IF(IF(A1467="","",COUNTIF(CONSOLIDADO!$A:$A,$A1467))=0,"REVISAR","OK")</f>
        <v>OK</v>
      </c>
    </row>
    <row r="1468" spans="1:6" x14ac:dyDescent="0.2">
      <c r="A1468" s="312" t="s">
        <v>709</v>
      </c>
      <c r="B1468" s="313" t="s">
        <v>466</v>
      </c>
      <c r="C1468" s="312" t="s">
        <v>111</v>
      </c>
      <c r="D1468" s="314">
        <v>708</v>
      </c>
      <c r="E1468" s="313" t="s">
        <v>935</v>
      </c>
      <c r="F1468" s="315" t="str">
        <f>IF(IF(A1468="","",COUNTIF(CONSOLIDADO!$A:$A,$A1468))=0,"REVISAR","OK")</f>
        <v>OK</v>
      </c>
    </row>
    <row r="1469" spans="1:6" x14ac:dyDescent="0.2">
      <c r="A1469" s="312" t="s">
        <v>657</v>
      </c>
      <c r="B1469" s="313" t="s">
        <v>503</v>
      </c>
      <c r="C1469" s="312" t="s">
        <v>947</v>
      </c>
      <c r="D1469" s="314">
        <v>4914</v>
      </c>
      <c r="E1469" s="313" t="s">
        <v>2238</v>
      </c>
      <c r="F1469" s="315" t="str">
        <f>IF(IF(A1469="","",COUNTIF(CONSOLIDADO!$A:$A,$A1469))=0,"REVISAR","OK")</f>
        <v>OK</v>
      </c>
    </row>
    <row r="1470" spans="1:6" x14ac:dyDescent="0.2">
      <c r="A1470" s="312" t="s">
        <v>657</v>
      </c>
      <c r="B1470" s="313" t="s">
        <v>503</v>
      </c>
      <c r="C1470" s="312" t="s">
        <v>947</v>
      </c>
      <c r="D1470" s="314">
        <v>6990</v>
      </c>
      <c r="E1470" s="313" t="s">
        <v>936</v>
      </c>
      <c r="F1470" s="315" t="str">
        <f>IF(IF(A1470="","",COUNTIF(CONSOLIDADO!$A:$A,$A1470))=0,"REVISAR","OK")</f>
        <v>OK</v>
      </c>
    </row>
    <row r="1471" spans="1:6" x14ac:dyDescent="0.2">
      <c r="A1471" s="312" t="s">
        <v>1131</v>
      </c>
      <c r="B1471" s="313" t="s">
        <v>1132</v>
      </c>
      <c r="C1471" s="312" t="s">
        <v>15</v>
      </c>
      <c r="D1471" s="314">
        <v>220</v>
      </c>
      <c r="E1471" s="313" t="s">
        <v>933</v>
      </c>
      <c r="F1471" s="315" t="str">
        <f>IF(IF(A1471="","",COUNTIF(CONSOLIDADO!$A:$A,$A1471))=0,"REVISAR","OK")</f>
        <v>OK</v>
      </c>
    </row>
    <row r="1472" spans="1:6" x14ac:dyDescent="0.2">
      <c r="A1472" s="312" t="s">
        <v>1131</v>
      </c>
      <c r="B1472" s="313" t="s">
        <v>1132</v>
      </c>
      <c r="C1472" s="312" t="s">
        <v>15</v>
      </c>
      <c r="D1472" s="314">
        <v>249</v>
      </c>
      <c r="E1472" s="313" t="s">
        <v>935</v>
      </c>
      <c r="F1472" s="315" t="str">
        <f>IF(IF(A1472="","",COUNTIF(CONSOLIDADO!$A:$A,$A1472))=0,"REVISAR","OK")</f>
        <v>OK</v>
      </c>
    </row>
    <row r="1473" spans="1:6" x14ac:dyDescent="0.2">
      <c r="A1473" s="312" t="s">
        <v>1131</v>
      </c>
      <c r="B1473" s="313" t="s">
        <v>1132</v>
      </c>
      <c r="C1473" s="312" t="s">
        <v>15</v>
      </c>
      <c r="D1473" s="314">
        <v>5999</v>
      </c>
      <c r="E1473" s="313" t="s">
        <v>2297</v>
      </c>
      <c r="F1473" s="315" t="str">
        <f>IF(IF(A1473="","",COUNTIF(CONSOLIDADO!$A:$A,$A1473))=0,"REVISAR","OK")</f>
        <v>OK</v>
      </c>
    </row>
    <row r="1474" spans="1:6" x14ac:dyDescent="0.2">
      <c r="A1474" s="312" t="s">
        <v>1131</v>
      </c>
      <c r="B1474" s="313" t="s">
        <v>1132</v>
      </c>
      <c r="C1474" s="312" t="s">
        <v>15</v>
      </c>
      <c r="D1474" s="314">
        <v>5999</v>
      </c>
      <c r="E1474" s="313" t="s">
        <v>2297</v>
      </c>
      <c r="F1474" s="315" t="str">
        <f>IF(IF(A1474="","",COUNTIF(CONSOLIDADO!$A:$A,$A1474))=0,"REVISAR","OK")</f>
        <v>OK</v>
      </c>
    </row>
    <row r="1475" spans="1:6" x14ac:dyDescent="0.2">
      <c r="A1475" s="312" t="s">
        <v>885</v>
      </c>
      <c r="B1475" s="313" t="s">
        <v>467</v>
      </c>
      <c r="C1475" s="312" t="s">
        <v>111</v>
      </c>
      <c r="D1475" s="314">
        <v>229</v>
      </c>
      <c r="E1475" s="313" t="s">
        <v>2070</v>
      </c>
      <c r="F1475" s="315" t="str">
        <f>IF(IF(A1475="","",COUNTIF(CONSOLIDADO!$A:$A,$A1475))=0,"REVISAR","OK")</f>
        <v>OK</v>
      </c>
    </row>
    <row r="1476" spans="1:6" x14ac:dyDescent="0.2">
      <c r="A1476" s="312" t="s">
        <v>885</v>
      </c>
      <c r="B1476" s="313" t="s">
        <v>467</v>
      </c>
      <c r="C1476" s="312" t="s">
        <v>111</v>
      </c>
      <c r="D1476" s="314">
        <v>230</v>
      </c>
      <c r="E1476" s="313" t="s">
        <v>929</v>
      </c>
      <c r="F1476" s="315" t="str">
        <f>IF(IF(A1476="","",COUNTIF(CONSOLIDADO!$A:$A,$A1476))=0,"REVISAR","OK")</f>
        <v>OK</v>
      </c>
    </row>
    <row r="1477" spans="1:6" x14ac:dyDescent="0.2">
      <c r="A1477" s="312" t="s">
        <v>846</v>
      </c>
      <c r="B1477" s="313" t="s">
        <v>652</v>
      </c>
      <c r="C1477" s="312" t="s">
        <v>15</v>
      </c>
      <c r="D1477" s="314">
        <v>9520</v>
      </c>
      <c r="E1477" s="313" t="s">
        <v>949</v>
      </c>
      <c r="F1477" s="315" t="str">
        <f>IF(IF(A1477="","",COUNTIF(CONSOLIDADO!$A:$A,$A1477))=0,"REVISAR","OK")</f>
        <v>OK</v>
      </c>
    </row>
    <row r="1478" spans="1:6" x14ac:dyDescent="0.2">
      <c r="A1478" s="312" t="s">
        <v>846</v>
      </c>
      <c r="B1478" s="313" t="s">
        <v>652</v>
      </c>
      <c r="C1478" s="312" t="s">
        <v>15</v>
      </c>
      <c r="D1478" s="314">
        <v>10591</v>
      </c>
      <c r="E1478" s="313" t="s">
        <v>2070</v>
      </c>
      <c r="F1478" s="315" t="str">
        <f>IF(IF(A1478="","",COUNTIF(CONSOLIDADO!$A:$A,$A1478))=0,"REVISAR","OK")</f>
        <v>OK</v>
      </c>
    </row>
    <row r="1479" spans="1:6" x14ac:dyDescent="0.2">
      <c r="A1479" s="312" t="s">
        <v>1145</v>
      </c>
      <c r="B1479" s="313" t="s">
        <v>582</v>
      </c>
      <c r="C1479" s="312" t="s">
        <v>942</v>
      </c>
      <c r="D1479" s="314">
        <v>1150</v>
      </c>
      <c r="E1479" s="313" t="s">
        <v>2276</v>
      </c>
      <c r="F1479" s="315" t="str">
        <f>IF(IF(A1479="","",COUNTIF(CONSOLIDADO!$A:$A,$A1479))=0,"REVISAR","OK")</f>
        <v>OK</v>
      </c>
    </row>
    <row r="1480" spans="1:6" x14ac:dyDescent="0.2">
      <c r="A1480" s="312" t="s">
        <v>702</v>
      </c>
      <c r="B1480" s="313" t="s">
        <v>647</v>
      </c>
      <c r="C1480" s="312" t="s">
        <v>15</v>
      </c>
      <c r="D1480" s="314">
        <v>2975</v>
      </c>
      <c r="E1480" s="313" t="s">
        <v>930</v>
      </c>
      <c r="F1480" s="315" t="str">
        <f>IF(IF(A1480="","",COUNTIF(CONSOLIDADO!$A:$A,$A1480))=0,"REVISAR","OK")</f>
        <v>OK</v>
      </c>
    </row>
    <row r="1481" spans="1:6" x14ac:dyDescent="0.2">
      <c r="A1481" s="312" t="s">
        <v>702</v>
      </c>
      <c r="B1481" s="313" t="s">
        <v>647</v>
      </c>
      <c r="C1481" s="312" t="s">
        <v>15</v>
      </c>
      <c r="D1481" s="314">
        <v>2975</v>
      </c>
      <c r="E1481" s="313" t="s">
        <v>2276</v>
      </c>
      <c r="F1481" s="315" t="str">
        <f>IF(IF(A1481="","",COUNTIF(CONSOLIDADO!$A:$A,$A1481))=0,"REVISAR","OK")</f>
        <v>OK</v>
      </c>
    </row>
    <row r="1482" spans="1:6" x14ac:dyDescent="0.2">
      <c r="A1482" s="312" t="s">
        <v>702</v>
      </c>
      <c r="B1482" s="313" t="s">
        <v>647</v>
      </c>
      <c r="C1482" s="312" t="s">
        <v>15</v>
      </c>
      <c r="D1482" s="314">
        <v>3927</v>
      </c>
      <c r="E1482" s="313" t="s">
        <v>2146</v>
      </c>
      <c r="F1482" s="315" t="str">
        <f>IF(IF(A1482="","",COUNTIF(CONSOLIDADO!$A:$A,$A1482))=0,"REVISAR","OK")</f>
        <v>OK</v>
      </c>
    </row>
    <row r="1483" spans="1:6" x14ac:dyDescent="0.2">
      <c r="A1483" s="312" t="s">
        <v>702</v>
      </c>
      <c r="B1483" s="313" t="s">
        <v>647</v>
      </c>
      <c r="C1483" s="312" t="s">
        <v>15</v>
      </c>
      <c r="D1483" s="314">
        <v>4900</v>
      </c>
      <c r="E1483" s="313" t="s">
        <v>2005</v>
      </c>
      <c r="F1483" s="315" t="str">
        <f>IF(IF(A1483="","",COUNTIF(CONSOLIDADO!$A:$A,$A1483))=0,"REVISAR","OK")</f>
        <v>OK</v>
      </c>
    </row>
    <row r="1484" spans="1:6" x14ac:dyDescent="0.2">
      <c r="A1484" s="312" t="s">
        <v>1592</v>
      </c>
      <c r="B1484" s="313" t="s">
        <v>1593</v>
      </c>
      <c r="C1484" s="312" t="s">
        <v>111</v>
      </c>
      <c r="D1484" s="314">
        <v>4522</v>
      </c>
      <c r="E1484" s="313" t="s">
        <v>982</v>
      </c>
      <c r="F1484" s="315" t="str">
        <f>IF(IF(A1484="","",COUNTIF(CONSOLIDADO!$A:$A,$A1484))=0,"REVISAR","OK")</f>
        <v>OK</v>
      </c>
    </row>
    <row r="1485" spans="1:6" x14ac:dyDescent="0.2">
      <c r="A1485" s="312" t="s">
        <v>804</v>
      </c>
      <c r="B1485" s="313" t="s">
        <v>65</v>
      </c>
      <c r="C1485" s="312" t="s">
        <v>15</v>
      </c>
      <c r="D1485" s="314">
        <v>990</v>
      </c>
      <c r="E1485" s="313" t="s">
        <v>945</v>
      </c>
      <c r="F1485" s="315" t="str">
        <f>IF(IF(A1485="","",COUNTIF(CONSOLIDADO!$A:$A,$A1485))=0,"REVISAR","OK")</f>
        <v>OK</v>
      </c>
    </row>
    <row r="1486" spans="1:6" x14ac:dyDescent="0.2">
      <c r="A1486" s="312" t="s">
        <v>804</v>
      </c>
      <c r="B1486" s="313" t="s">
        <v>65</v>
      </c>
      <c r="C1486" s="312" t="s">
        <v>15</v>
      </c>
      <c r="D1486" s="314">
        <v>1059</v>
      </c>
      <c r="E1486" s="313" t="s">
        <v>1115</v>
      </c>
      <c r="F1486" s="315" t="str">
        <f>IF(IF(A1486="","",COUNTIF(CONSOLIDADO!$A:$A,$A1486))=0,"REVISAR","OK")</f>
        <v>OK</v>
      </c>
    </row>
    <row r="1487" spans="1:6" x14ac:dyDescent="0.2">
      <c r="A1487" s="312" t="s">
        <v>804</v>
      </c>
      <c r="B1487" s="313" t="s">
        <v>65</v>
      </c>
      <c r="C1487" s="312" t="s">
        <v>15</v>
      </c>
      <c r="D1487" s="314">
        <v>1200</v>
      </c>
      <c r="E1487" s="313" t="s">
        <v>939</v>
      </c>
      <c r="F1487" s="315" t="str">
        <f>IF(IF(A1487="","",COUNTIF(CONSOLIDADO!$A:$A,$A1487))=0,"REVISAR","OK")</f>
        <v>OK</v>
      </c>
    </row>
    <row r="1488" spans="1:6" x14ac:dyDescent="0.2">
      <c r="A1488" s="312" t="s">
        <v>804</v>
      </c>
      <c r="B1488" s="313" t="s">
        <v>65</v>
      </c>
      <c r="C1488" s="312" t="s">
        <v>15</v>
      </c>
      <c r="D1488" s="314">
        <v>1309</v>
      </c>
      <c r="E1488" s="313" t="s">
        <v>982</v>
      </c>
      <c r="F1488" s="315" t="str">
        <f>IF(IF(A1488="","",COUNTIF(CONSOLIDADO!$A:$A,$A1488))=0,"REVISAR","OK")</f>
        <v>OK</v>
      </c>
    </row>
    <row r="1489" spans="1:6" x14ac:dyDescent="0.2">
      <c r="A1489" s="312" t="s">
        <v>804</v>
      </c>
      <c r="B1489" s="313" t="s">
        <v>65</v>
      </c>
      <c r="C1489" s="312" t="s">
        <v>15</v>
      </c>
      <c r="D1489" s="314">
        <v>1389</v>
      </c>
      <c r="E1489" s="313" t="s">
        <v>934</v>
      </c>
      <c r="F1489" s="315" t="str">
        <f>IF(IF(A1489="","",COUNTIF(CONSOLIDADO!$A:$A,$A1489))=0,"REVISAR","OK")</f>
        <v>OK</v>
      </c>
    </row>
    <row r="1490" spans="1:6" x14ac:dyDescent="0.2">
      <c r="A1490" s="312" t="s">
        <v>804</v>
      </c>
      <c r="B1490" s="313" t="s">
        <v>65</v>
      </c>
      <c r="C1490" s="312" t="s">
        <v>15</v>
      </c>
      <c r="D1490" s="314">
        <v>1428</v>
      </c>
      <c r="E1490" s="313" t="s">
        <v>939</v>
      </c>
      <c r="F1490" s="315" t="str">
        <f>IF(IF(A1490="","",COUNTIF(CONSOLIDADO!$A:$A,$A1490))=0,"REVISAR","OK")</f>
        <v>OK</v>
      </c>
    </row>
    <row r="1491" spans="1:6" x14ac:dyDescent="0.2">
      <c r="A1491" s="312" t="s">
        <v>804</v>
      </c>
      <c r="B1491" s="313" t="s">
        <v>65</v>
      </c>
      <c r="C1491" s="312" t="s">
        <v>15</v>
      </c>
      <c r="D1491" s="314">
        <v>1690</v>
      </c>
      <c r="E1491" s="313" t="s">
        <v>931</v>
      </c>
      <c r="F1491" s="315" t="str">
        <f>IF(IF(A1491="","",COUNTIF(CONSOLIDADO!$A:$A,$A1491))=0,"REVISAR","OK")</f>
        <v>OK</v>
      </c>
    </row>
    <row r="1492" spans="1:6" x14ac:dyDescent="0.2">
      <c r="A1492" s="312" t="s">
        <v>1594</v>
      </c>
      <c r="B1492" s="313" t="s">
        <v>1595</v>
      </c>
      <c r="C1492" s="312" t="s">
        <v>111</v>
      </c>
      <c r="D1492" s="314">
        <v>607</v>
      </c>
      <c r="E1492" s="313" t="s">
        <v>2258</v>
      </c>
      <c r="F1492" s="315" t="str">
        <f>IF(IF(A1492="","",COUNTIF(CONSOLIDADO!$A:$A,$A1492))=0,"REVISAR","OK")</f>
        <v>OK</v>
      </c>
    </row>
    <row r="1493" spans="1:6" x14ac:dyDescent="0.2">
      <c r="A1493" s="312" t="s">
        <v>1603</v>
      </c>
      <c r="B1493" s="313" t="s">
        <v>1604</v>
      </c>
      <c r="C1493" s="312" t="s">
        <v>111</v>
      </c>
      <c r="D1493" s="314">
        <v>322</v>
      </c>
      <c r="E1493" s="313" t="s">
        <v>951</v>
      </c>
      <c r="F1493" s="315" t="str">
        <f>IF(IF(A1493="","",COUNTIF(CONSOLIDADO!$A:$A,$A1493))=0,"REVISAR","OK")</f>
        <v>OK</v>
      </c>
    </row>
    <row r="1494" spans="1:6" x14ac:dyDescent="0.2">
      <c r="A1494" s="312" t="s">
        <v>1603</v>
      </c>
      <c r="B1494" s="313" t="s">
        <v>1604</v>
      </c>
      <c r="C1494" s="312" t="s">
        <v>111</v>
      </c>
      <c r="D1494" s="314">
        <v>349</v>
      </c>
      <c r="E1494" s="313" t="s">
        <v>930</v>
      </c>
      <c r="F1494" s="315" t="str">
        <f>IF(IF(A1494="","",COUNTIF(CONSOLIDADO!$A:$A,$A1494))=0,"REVISAR","OK")</f>
        <v>OK</v>
      </c>
    </row>
    <row r="1495" spans="1:6" x14ac:dyDescent="0.2">
      <c r="A1495" s="312" t="s">
        <v>1603</v>
      </c>
      <c r="B1495" s="313" t="s">
        <v>1604</v>
      </c>
      <c r="C1495" s="312" t="s">
        <v>111</v>
      </c>
      <c r="D1495" s="314">
        <v>372</v>
      </c>
      <c r="E1495" s="313" t="s">
        <v>951</v>
      </c>
      <c r="F1495" s="315" t="str">
        <f>IF(IF(A1495="","",COUNTIF(CONSOLIDADO!$A:$A,$A1495))=0,"REVISAR","OK")</f>
        <v>OK</v>
      </c>
    </row>
    <row r="1496" spans="1:6" x14ac:dyDescent="0.2">
      <c r="A1496" s="312" t="s">
        <v>1603</v>
      </c>
      <c r="B1496" s="313" t="s">
        <v>1604</v>
      </c>
      <c r="C1496" s="312" t="s">
        <v>111</v>
      </c>
      <c r="D1496" s="314">
        <v>386</v>
      </c>
      <c r="E1496" s="313" t="s">
        <v>2070</v>
      </c>
      <c r="F1496" s="315" t="str">
        <f>IF(IF(A1496="","",COUNTIF(CONSOLIDADO!$A:$A,$A1496))=0,"REVISAR","OK")</f>
        <v>OK</v>
      </c>
    </row>
    <row r="1497" spans="1:6" x14ac:dyDescent="0.2">
      <c r="A1497" s="312" t="s">
        <v>1151</v>
      </c>
      <c r="B1497" s="313" t="s">
        <v>199</v>
      </c>
      <c r="C1497" s="312" t="s">
        <v>202</v>
      </c>
      <c r="D1497" s="314">
        <v>1341</v>
      </c>
      <c r="E1497" s="313" t="s">
        <v>933</v>
      </c>
      <c r="F1497" s="315" t="str">
        <f>IF(IF(A1497="","",COUNTIF(CONSOLIDADO!$A:$A,$A1497))=0,"REVISAR","OK")</f>
        <v>OK</v>
      </c>
    </row>
    <row r="1498" spans="1:6" x14ac:dyDescent="0.2">
      <c r="A1498" s="312" t="s">
        <v>1151</v>
      </c>
      <c r="B1498" s="313" t="s">
        <v>199</v>
      </c>
      <c r="C1498" s="312" t="s">
        <v>202</v>
      </c>
      <c r="D1498" s="314">
        <v>1346</v>
      </c>
      <c r="E1498" s="313" t="s">
        <v>935</v>
      </c>
      <c r="F1498" s="315" t="str">
        <f>IF(IF(A1498="","",COUNTIF(CONSOLIDADO!$A:$A,$A1498))=0,"REVISAR","OK")</f>
        <v>OK</v>
      </c>
    </row>
    <row r="1499" spans="1:6" x14ac:dyDescent="0.2">
      <c r="A1499" s="312" t="s">
        <v>1151</v>
      </c>
      <c r="B1499" s="313" t="s">
        <v>199</v>
      </c>
      <c r="C1499" s="312" t="s">
        <v>202</v>
      </c>
      <c r="D1499" s="314">
        <v>2345</v>
      </c>
      <c r="E1499" s="313" t="s">
        <v>2176</v>
      </c>
      <c r="F1499" s="315" t="str">
        <f>IF(IF(A1499="","",COUNTIF(CONSOLIDADO!$A:$A,$A1499))=0,"REVISAR","OK")</f>
        <v>OK</v>
      </c>
    </row>
    <row r="1500" spans="1:6" x14ac:dyDescent="0.2">
      <c r="A1500" s="312" t="s">
        <v>1607</v>
      </c>
      <c r="B1500" s="313" t="s">
        <v>1608</v>
      </c>
      <c r="C1500" s="312" t="s">
        <v>111</v>
      </c>
      <c r="D1500" s="314">
        <v>1990</v>
      </c>
      <c r="E1500" s="313" t="s">
        <v>948</v>
      </c>
      <c r="F1500" s="315" t="str">
        <f>IF(IF(A1500="","",COUNTIF(CONSOLIDADO!$A:$A,$A1500))=0,"REVISAR","OK")</f>
        <v>OK</v>
      </c>
    </row>
    <row r="1501" spans="1:6" x14ac:dyDescent="0.2">
      <c r="A1501" s="312" t="s">
        <v>1153</v>
      </c>
      <c r="B1501" s="313" t="s">
        <v>261</v>
      </c>
      <c r="C1501" s="312" t="s">
        <v>956</v>
      </c>
      <c r="D1501" s="314">
        <v>780</v>
      </c>
      <c r="E1501" s="313" t="s">
        <v>930</v>
      </c>
      <c r="F1501" s="315" t="str">
        <f>IF(IF(A1501="","",COUNTIF(CONSOLIDADO!$A:$A,$A1501))=0,"REVISAR","OK")</f>
        <v>OK</v>
      </c>
    </row>
    <row r="1502" spans="1:6" x14ac:dyDescent="0.2">
      <c r="A1502" s="312" t="s">
        <v>1153</v>
      </c>
      <c r="B1502" s="313" t="s">
        <v>261</v>
      </c>
      <c r="C1502" s="312" t="s">
        <v>956</v>
      </c>
      <c r="D1502" s="314">
        <v>1200</v>
      </c>
      <c r="E1502" s="313" t="s">
        <v>938</v>
      </c>
      <c r="F1502" s="315" t="str">
        <f>IF(IF(A1502="","",COUNTIF(CONSOLIDADO!$A:$A,$A1502))=0,"REVISAR","OK")</f>
        <v>OK</v>
      </c>
    </row>
    <row r="1503" spans="1:6" x14ac:dyDescent="0.2">
      <c r="A1503" s="312" t="s">
        <v>1154</v>
      </c>
      <c r="B1503" s="313" t="s">
        <v>1155</v>
      </c>
      <c r="C1503" s="312" t="s">
        <v>15</v>
      </c>
      <c r="D1503" s="314">
        <v>4130</v>
      </c>
      <c r="E1503" s="313" t="s">
        <v>943</v>
      </c>
      <c r="F1503" s="315" t="str">
        <f>IF(IF(A1503="","",COUNTIF(CONSOLIDADO!$A:$A,$A1503))=0,"REVISAR","OK")</f>
        <v>OK</v>
      </c>
    </row>
    <row r="1504" spans="1:6" x14ac:dyDescent="0.2">
      <c r="A1504" s="312" t="s">
        <v>1154</v>
      </c>
      <c r="B1504" s="313" t="s">
        <v>1155</v>
      </c>
      <c r="C1504" s="312" t="s">
        <v>15</v>
      </c>
      <c r="D1504" s="314">
        <v>6179</v>
      </c>
      <c r="E1504" s="313" t="s">
        <v>932</v>
      </c>
      <c r="F1504" s="315" t="str">
        <f>IF(IF(A1504="","",COUNTIF(CONSOLIDADO!$A:$A,$A1504))=0,"REVISAR","OK")</f>
        <v>OK</v>
      </c>
    </row>
    <row r="1505" spans="1:6" x14ac:dyDescent="0.2">
      <c r="A1505" s="312" t="s">
        <v>1156</v>
      </c>
      <c r="B1505" s="313" t="s">
        <v>1157</v>
      </c>
      <c r="C1505" s="312" t="s">
        <v>906</v>
      </c>
      <c r="D1505" s="314">
        <v>2007</v>
      </c>
      <c r="E1505" s="313" t="s">
        <v>2233</v>
      </c>
      <c r="F1505" s="315" t="str">
        <f>IF(IF(A1505="","",COUNTIF(CONSOLIDADO!$A:$A,$A1505))=0,"REVISAR","OK")</f>
        <v>OK</v>
      </c>
    </row>
    <row r="1506" spans="1:6" x14ac:dyDescent="0.2">
      <c r="A1506" s="312" t="s">
        <v>1156</v>
      </c>
      <c r="B1506" s="313" t="s">
        <v>1157</v>
      </c>
      <c r="C1506" s="312" t="s">
        <v>906</v>
      </c>
      <c r="D1506" s="314">
        <v>3808</v>
      </c>
      <c r="E1506" s="313" t="s">
        <v>946</v>
      </c>
      <c r="F1506" s="315" t="str">
        <f>IF(IF(A1506="","",COUNTIF(CONSOLIDADO!$A:$A,$A1506))=0,"REVISAR","OK")</f>
        <v>OK</v>
      </c>
    </row>
    <row r="1507" spans="1:6" x14ac:dyDescent="0.2">
      <c r="A1507" s="312" t="s">
        <v>1156</v>
      </c>
      <c r="B1507" s="313" t="s">
        <v>1157</v>
      </c>
      <c r="C1507" s="312" t="s">
        <v>906</v>
      </c>
      <c r="D1507" s="314">
        <v>3890</v>
      </c>
      <c r="E1507" s="313" t="s">
        <v>944</v>
      </c>
      <c r="F1507" s="315" t="str">
        <f>IF(IF(A1507="","",COUNTIF(CONSOLIDADO!$A:$A,$A1507))=0,"REVISAR","OK")</f>
        <v>OK</v>
      </c>
    </row>
    <row r="1508" spans="1:6" x14ac:dyDescent="0.2">
      <c r="A1508" s="312" t="s">
        <v>1156</v>
      </c>
      <c r="B1508" s="313" t="s">
        <v>1157</v>
      </c>
      <c r="C1508" s="312" t="s">
        <v>906</v>
      </c>
      <c r="D1508" s="314">
        <v>3990</v>
      </c>
      <c r="E1508" s="313" t="s">
        <v>944</v>
      </c>
      <c r="F1508" s="315" t="str">
        <f>IF(IF(A1508="","",COUNTIF(CONSOLIDADO!$A:$A,$A1508))=0,"REVISAR","OK")</f>
        <v>OK</v>
      </c>
    </row>
    <row r="1509" spans="1:6" x14ac:dyDescent="0.2">
      <c r="A1509" s="312" t="s">
        <v>1156</v>
      </c>
      <c r="B1509" s="313" t="s">
        <v>1157</v>
      </c>
      <c r="C1509" s="312" t="s">
        <v>906</v>
      </c>
      <c r="D1509" s="314">
        <v>4400</v>
      </c>
      <c r="E1509" s="313" t="s">
        <v>2073</v>
      </c>
      <c r="F1509" s="315" t="str">
        <f>IF(IF(A1509="","",COUNTIF(CONSOLIDADO!$A:$A,$A1509))=0,"REVISAR","OK")</f>
        <v>OK</v>
      </c>
    </row>
    <row r="1510" spans="1:6" x14ac:dyDescent="0.2">
      <c r="A1510" s="312" t="s">
        <v>1156</v>
      </c>
      <c r="B1510" s="313" t="s">
        <v>1157</v>
      </c>
      <c r="C1510" s="312" t="s">
        <v>906</v>
      </c>
      <c r="D1510" s="314">
        <v>8790</v>
      </c>
      <c r="E1510" s="313" t="s">
        <v>2073</v>
      </c>
      <c r="F1510" s="315" t="str">
        <f>IF(IF(A1510="","",COUNTIF(CONSOLIDADO!$A:$A,$A1510))=0,"REVISAR","OK")</f>
        <v>OK</v>
      </c>
    </row>
    <row r="1511" spans="1:6" x14ac:dyDescent="0.2">
      <c r="A1511" s="312" t="s">
        <v>1158</v>
      </c>
      <c r="B1511" s="313" t="s">
        <v>1159</v>
      </c>
      <c r="C1511" s="312" t="s">
        <v>111</v>
      </c>
      <c r="D1511" s="314">
        <v>535</v>
      </c>
      <c r="E1511" s="313" t="s">
        <v>982</v>
      </c>
      <c r="F1511" s="315" t="str">
        <f>IF(IF(A1511="","",COUNTIF(CONSOLIDADO!$A:$A,$A1511))=0,"REVISAR","OK")</f>
        <v>OK</v>
      </c>
    </row>
    <row r="1512" spans="1:6" x14ac:dyDescent="0.2">
      <c r="A1512" s="312" t="s">
        <v>1158</v>
      </c>
      <c r="B1512" s="313" t="s">
        <v>1159</v>
      </c>
      <c r="C1512" s="312" t="s">
        <v>111</v>
      </c>
      <c r="D1512" s="314">
        <v>571</v>
      </c>
      <c r="E1512" s="313" t="s">
        <v>932</v>
      </c>
      <c r="F1512" s="315" t="str">
        <f>IF(IF(A1512="","",COUNTIF(CONSOLIDADO!$A:$A,$A1512))=0,"REVISAR","OK")</f>
        <v>OK</v>
      </c>
    </row>
    <row r="1513" spans="1:6" x14ac:dyDescent="0.2">
      <c r="A1513" s="312" t="s">
        <v>1160</v>
      </c>
      <c r="B1513" s="313" t="s">
        <v>1161</v>
      </c>
      <c r="C1513" s="312" t="s">
        <v>111</v>
      </c>
      <c r="D1513" s="314">
        <v>593</v>
      </c>
      <c r="E1513" s="313" t="s">
        <v>2073</v>
      </c>
      <c r="F1513" s="315" t="str">
        <f>IF(IF(A1513="","",COUNTIF(CONSOLIDADO!$A:$A,$A1513))=0,"REVISAR","OK")</f>
        <v>OK</v>
      </c>
    </row>
    <row r="1514" spans="1:6" x14ac:dyDescent="0.2">
      <c r="A1514" s="312" t="s">
        <v>840</v>
      </c>
      <c r="B1514" s="313" t="s">
        <v>584</v>
      </c>
      <c r="C1514" s="312" t="s">
        <v>111</v>
      </c>
      <c r="D1514" s="314">
        <v>476</v>
      </c>
      <c r="E1514" s="313" t="s">
        <v>982</v>
      </c>
      <c r="F1514" s="315" t="str">
        <f>IF(IF(A1514="","",COUNTIF(CONSOLIDADO!$A:$A,$A1514))=0,"REVISAR","OK")</f>
        <v>OK</v>
      </c>
    </row>
    <row r="1515" spans="1:6" x14ac:dyDescent="0.2">
      <c r="A1515" s="312" t="s">
        <v>840</v>
      </c>
      <c r="B1515" s="313" t="s">
        <v>584</v>
      </c>
      <c r="C1515" s="312" t="s">
        <v>111</v>
      </c>
      <c r="D1515" s="314">
        <v>476</v>
      </c>
      <c r="E1515" s="313" t="s">
        <v>939</v>
      </c>
      <c r="F1515" s="315" t="str">
        <f>IF(IF(A1515="","",COUNTIF(CONSOLIDADO!$A:$A,$A1515))=0,"REVISAR","OK")</f>
        <v>OK</v>
      </c>
    </row>
    <row r="1516" spans="1:6" x14ac:dyDescent="0.2">
      <c r="A1516" s="312" t="s">
        <v>840</v>
      </c>
      <c r="B1516" s="313" t="s">
        <v>584</v>
      </c>
      <c r="C1516" s="312" t="s">
        <v>111</v>
      </c>
      <c r="D1516" s="314">
        <v>476</v>
      </c>
      <c r="E1516" s="313" t="s">
        <v>932</v>
      </c>
      <c r="F1516" s="315" t="str">
        <f>IF(IF(A1516="","",COUNTIF(CONSOLIDADO!$A:$A,$A1516))=0,"REVISAR","OK")</f>
        <v>OK</v>
      </c>
    </row>
    <row r="1517" spans="1:6" x14ac:dyDescent="0.2">
      <c r="A1517" s="312" t="s">
        <v>840</v>
      </c>
      <c r="B1517" s="313" t="s">
        <v>584</v>
      </c>
      <c r="C1517" s="312" t="s">
        <v>111</v>
      </c>
      <c r="D1517" s="314">
        <v>582</v>
      </c>
      <c r="E1517" s="313" t="s">
        <v>2073</v>
      </c>
      <c r="F1517" s="315" t="str">
        <f>IF(IF(A1517="","",COUNTIF(CONSOLIDADO!$A:$A,$A1517))=0,"REVISAR","OK")</f>
        <v>OK</v>
      </c>
    </row>
    <row r="1518" spans="1:6" x14ac:dyDescent="0.2">
      <c r="A1518" s="312" t="s">
        <v>840</v>
      </c>
      <c r="B1518" s="313" t="s">
        <v>584</v>
      </c>
      <c r="C1518" s="312" t="s">
        <v>111</v>
      </c>
      <c r="D1518" s="314">
        <v>714</v>
      </c>
      <c r="E1518" s="313" t="s">
        <v>2238</v>
      </c>
      <c r="F1518" s="315" t="str">
        <f>IF(IF(A1518="","",COUNTIF(CONSOLIDADO!$A:$A,$A1518))=0,"REVISAR","OK")</f>
        <v>OK</v>
      </c>
    </row>
    <row r="1519" spans="1:6" x14ac:dyDescent="0.2">
      <c r="A1519" s="312" t="s">
        <v>840</v>
      </c>
      <c r="B1519" s="313" t="s">
        <v>584</v>
      </c>
      <c r="C1519" s="312" t="s">
        <v>111</v>
      </c>
      <c r="D1519" s="314">
        <v>1071</v>
      </c>
      <c r="E1519" s="313" t="s">
        <v>938</v>
      </c>
      <c r="F1519" s="315" t="str">
        <f>IF(IF(A1519="","",COUNTIF(CONSOLIDADO!$A:$A,$A1519))=0,"REVISAR","OK")</f>
        <v>OK</v>
      </c>
    </row>
    <row r="1520" spans="1:6" x14ac:dyDescent="0.2">
      <c r="A1520" s="312" t="s">
        <v>810</v>
      </c>
      <c r="B1520" s="313" t="s">
        <v>1052</v>
      </c>
      <c r="C1520" s="312" t="s">
        <v>906</v>
      </c>
      <c r="D1520" s="314">
        <v>2000</v>
      </c>
      <c r="E1520" s="313" t="s">
        <v>2274</v>
      </c>
      <c r="F1520" s="315" t="str">
        <f>IF(IF(A1520="","",COUNTIF(CONSOLIDADO!$A:$A,$A1520))=0,"REVISAR","OK")</f>
        <v>OK</v>
      </c>
    </row>
    <row r="1521" spans="1:6" x14ac:dyDescent="0.2">
      <c r="A1521" s="312" t="s">
        <v>810</v>
      </c>
      <c r="B1521" s="313" t="s">
        <v>1052</v>
      </c>
      <c r="C1521" s="312" t="s">
        <v>906</v>
      </c>
      <c r="D1521" s="314">
        <v>3000</v>
      </c>
      <c r="E1521" s="313" t="s">
        <v>2297</v>
      </c>
      <c r="F1521" s="315" t="str">
        <f>IF(IF(A1521="","",COUNTIF(CONSOLIDADO!$A:$A,$A1521))=0,"REVISAR","OK")</f>
        <v>OK</v>
      </c>
    </row>
    <row r="1522" spans="1:6" x14ac:dyDescent="0.2">
      <c r="A1522" s="312" t="s">
        <v>810</v>
      </c>
      <c r="B1522" s="313" t="s">
        <v>1052</v>
      </c>
      <c r="C1522" s="312" t="s">
        <v>906</v>
      </c>
      <c r="D1522" s="314">
        <v>3234</v>
      </c>
      <c r="E1522" s="313" t="s">
        <v>2070</v>
      </c>
      <c r="F1522" s="315" t="str">
        <f>IF(IF(A1522="","",COUNTIF(CONSOLIDADO!$A:$A,$A1522))=0,"REVISAR","OK")</f>
        <v>OK</v>
      </c>
    </row>
    <row r="1523" spans="1:6" x14ac:dyDescent="0.2">
      <c r="A1523" s="312" t="s">
        <v>810</v>
      </c>
      <c r="B1523" s="313" t="s">
        <v>1052</v>
      </c>
      <c r="C1523" s="312" t="s">
        <v>906</v>
      </c>
      <c r="D1523" s="314">
        <v>3570</v>
      </c>
      <c r="E1523" s="313" t="s">
        <v>982</v>
      </c>
      <c r="F1523" s="315" t="str">
        <f>IF(IF(A1523="","",COUNTIF(CONSOLIDADO!$A:$A,$A1523))=0,"REVISAR","OK")</f>
        <v>OK</v>
      </c>
    </row>
    <row r="1524" spans="1:6" x14ac:dyDescent="0.2">
      <c r="A1524" s="312" t="s">
        <v>810</v>
      </c>
      <c r="B1524" s="313" t="s">
        <v>1052</v>
      </c>
      <c r="C1524" s="312" t="s">
        <v>906</v>
      </c>
      <c r="D1524" s="314">
        <v>3630</v>
      </c>
      <c r="E1524" s="313" t="s">
        <v>949</v>
      </c>
      <c r="F1524" s="315" t="str">
        <f>IF(IF(A1524="","",COUNTIF(CONSOLIDADO!$A:$A,$A1524))=0,"REVISAR","OK")</f>
        <v>OK</v>
      </c>
    </row>
    <row r="1525" spans="1:6" x14ac:dyDescent="0.2">
      <c r="A1525" s="312" t="s">
        <v>810</v>
      </c>
      <c r="B1525" s="313" t="s">
        <v>1052</v>
      </c>
      <c r="C1525" s="312" t="s">
        <v>906</v>
      </c>
      <c r="D1525" s="314">
        <v>3900</v>
      </c>
      <c r="E1525" s="313" t="s">
        <v>974</v>
      </c>
      <c r="F1525" s="315" t="str">
        <f>IF(IF(A1525="","",COUNTIF(CONSOLIDADO!$A:$A,$A1525))=0,"REVISAR","OK")</f>
        <v>OK</v>
      </c>
    </row>
    <row r="1526" spans="1:6" x14ac:dyDescent="0.2">
      <c r="A1526" s="312" t="s">
        <v>810</v>
      </c>
      <c r="B1526" s="313" t="s">
        <v>1052</v>
      </c>
      <c r="C1526" s="312" t="s">
        <v>906</v>
      </c>
      <c r="D1526" s="314">
        <v>4490</v>
      </c>
      <c r="E1526" s="313" t="s">
        <v>2176</v>
      </c>
      <c r="F1526" s="315" t="str">
        <f>IF(IF(A1526="","",COUNTIF(CONSOLIDADO!$A:$A,$A1526))=0,"REVISAR","OK")</f>
        <v>OK</v>
      </c>
    </row>
    <row r="1527" spans="1:6" x14ac:dyDescent="0.2">
      <c r="A1527" s="312" t="s">
        <v>810</v>
      </c>
      <c r="B1527" s="313" t="s">
        <v>1052</v>
      </c>
      <c r="C1527" s="312" t="s">
        <v>906</v>
      </c>
      <c r="D1527" s="314">
        <v>5900</v>
      </c>
      <c r="E1527" s="313" t="s">
        <v>2232</v>
      </c>
      <c r="F1527" s="315" t="str">
        <f>IF(IF(A1527="","",COUNTIF(CONSOLIDADO!$A:$A,$A1527))=0,"REVISAR","OK")</f>
        <v>OK</v>
      </c>
    </row>
    <row r="1528" spans="1:6" x14ac:dyDescent="0.2">
      <c r="A1528" s="312" t="s">
        <v>1162</v>
      </c>
      <c r="B1528" s="313" t="s">
        <v>1163</v>
      </c>
      <c r="C1528" s="312" t="s">
        <v>15</v>
      </c>
      <c r="D1528" s="314">
        <v>8000</v>
      </c>
      <c r="E1528" s="313" t="s">
        <v>938</v>
      </c>
      <c r="F1528" s="315" t="str">
        <f>IF(IF(A1528="","",COUNTIF(CONSOLIDADO!$A:$A,$A1528))=0,"REVISAR","OK")</f>
        <v>OK</v>
      </c>
    </row>
    <row r="1529" spans="1:6" x14ac:dyDescent="0.2">
      <c r="A1529" s="312" t="s">
        <v>855</v>
      </c>
      <c r="B1529" s="313" t="s">
        <v>1116</v>
      </c>
      <c r="C1529" s="312" t="s">
        <v>15</v>
      </c>
      <c r="D1529" s="314">
        <v>2278</v>
      </c>
      <c r="E1529" s="313" t="s">
        <v>932</v>
      </c>
      <c r="F1529" s="315" t="str">
        <f>IF(IF(A1529="","",COUNTIF(CONSOLIDADO!$A:$A,$A1529))=0,"REVISAR","OK")</f>
        <v>OK</v>
      </c>
    </row>
    <row r="1530" spans="1:6" x14ac:dyDescent="0.2">
      <c r="A1530" s="312" t="s">
        <v>855</v>
      </c>
      <c r="B1530" s="313" t="s">
        <v>1116</v>
      </c>
      <c r="C1530" s="312" t="s">
        <v>15</v>
      </c>
      <c r="D1530" s="314">
        <v>6000</v>
      </c>
      <c r="E1530" s="313" t="s">
        <v>2211</v>
      </c>
      <c r="F1530" s="315" t="str">
        <f>IF(IF(A1530="","",COUNTIF(CONSOLIDADO!$A:$A,$A1530))=0,"REVISAR","OK")</f>
        <v>OK</v>
      </c>
    </row>
    <row r="1531" spans="1:6" x14ac:dyDescent="0.2">
      <c r="A1531" s="312" t="s">
        <v>855</v>
      </c>
      <c r="B1531" s="313" t="s">
        <v>1116</v>
      </c>
      <c r="C1531" s="312" t="s">
        <v>15</v>
      </c>
      <c r="D1531" s="314">
        <v>8092</v>
      </c>
      <c r="E1531" s="313" t="s">
        <v>931</v>
      </c>
      <c r="F1531" s="315" t="str">
        <f>IF(IF(A1531="","",COUNTIF(CONSOLIDADO!$A:$A,$A1531))=0,"REVISAR","OK")</f>
        <v>OK</v>
      </c>
    </row>
    <row r="1532" spans="1:6" x14ac:dyDescent="0.2">
      <c r="A1532" s="312" t="s">
        <v>855</v>
      </c>
      <c r="B1532" s="313" t="s">
        <v>1116</v>
      </c>
      <c r="C1532" s="312" t="s">
        <v>15</v>
      </c>
      <c r="D1532" s="314">
        <v>8092</v>
      </c>
      <c r="E1532" s="313" t="s">
        <v>982</v>
      </c>
      <c r="F1532" s="315" t="str">
        <f>IF(IF(A1532="","",COUNTIF(CONSOLIDADO!$A:$A,$A1532))=0,"REVISAR","OK")</f>
        <v>OK</v>
      </c>
    </row>
    <row r="1533" spans="1:6" x14ac:dyDescent="0.2">
      <c r="A1533" s="312" t="s">
        <v>855</v>
      </c>
      <c r="B1533" s="313" t="s">
        <v>1116</v>
      </c>
      <c r="C1533" s="312" t="s">
        <v>15</v>
      </c>
      <c r="D1533" s="314">
        <v>8092</v>
      </c>
      <c r="E1533" s="313" t="s">
        <v>939</v>
      </c>
      <c r="F1533" s="315" t="str">
        <f>IF(IF(A1533="","",COUNTIF(CONSOLIDADO!$A:$A,$A1533))=0,"REVISAR","OK")</f>
        <v>OK</v>
      </c>
    </row>
    <row r="1534" spans="1:6" x14ac:dyDescent="0.2">
      <c r="A1534" s="312" t="s">
        <v>855</v>
      </c>
      <c r="B1534" s="313" t="s">
        <v>1116</v>
      </c>
      <c r="C1534" s="312" t="s">
        <v>15</v>
      </c>
      <c r="D1534" s="314">
        <v>8847</v>
      </c>
      <c r="E1534" s="313" t="s">
        <v>950</v>
      </c>
      <c r="F1534" s="315" t="str">
        <f>IF(IF(A1534="","",COUNTIF(CONSOLIDADO!$A:$A,$A1534))=0,"REVISAR","OK")</f>
        <v>OK</v>
      </c>
    </row>
    <row r="1535" spans="1:6" x14ac:dyDescent="0.2">
      <c r="A1535" s="312" t="s">
        <v>855</v>
      </c>
      <c r="B1535" s="313" t="s">
        <v>1116</v>
      </c>
      <c r="C1535" s="312" t="s">
        <v>15</v>
      </c>
      <c r="D1535" s="314">
        <v>8890</v>
      </c>
      <c r="E1535" s="313" t="s">
        <v>2073</v>
      </c>
      <c r="F1535" s="315" t="str">
        <f>IF(IF(A1535="","",COUNTIF(CONSOLIDADO!$A:$A,$A1535))=0,"REVISAR","OK")</f>
        <v>OK</v>
      </c>
    </row>
    <row r="1536" spans="1:6" x14ac:dyDescent="0.2">
      <c r="A1536" s="312" t="s">
        <v>855</v>
      </c>
      <c r="B1536" s="313" t="s">
        <v>1116</v>
      </c>
      <c r="C1536" s="312" t="s">
        <v>15</v>
      </c>
      <c r="D1536" s="314">
        <v>10270</v>
      </c>
      <c r="E1536" s="313" t="s">
        <v>2233</v>
      </c>
      <c r="F1536" s="315" t="str">
        <f>IF(IF(A1536="","",COUNTIF(CONSOLIDADO!$A:$A,$A1536))=0,"REVISAR","OK")</f>
        <v>OK</v>
      </c>
    </row>
    <row r="1537" spans="1:6" x14ac:dyDescent="0.2">
      <c r="A1537" s="312" t="s">
        <v>855</v>
      </c>
      <c r="B1537" s="313" t="s">
        <v>1116</v>
      </c>
      <c r="C1537" s="312" t="s">
        <v>15</v>
      </c>
      <c r="D1537" s="314">
        <v>10420</v>
      </c>
      <c r="E1537" s="313" t="s">
        <v>2233</v>
      </c>
      <c r="F1537" s="315" t="str">
        <f>IF(IF(A1537="","",COUNTIF(CONSOLIDADO!$A:$A,$A1537))=0,"REVISAR","OK")</f>
        <v>OK</v>
      </c>
    </row>
    <row r="1538" spans="1:6" x14ac:dyDescent="0.2">
      <c r="A1538" s="312" t="s">
        <v>855</v>
      </c>
      <c r="B1538" s="313" t="s">
        <v>1116</v>
      </c>
      <c r="C1538" s="312" t="s">
        <v>15</v>
      </c>
      <c r="D1538" s="314">
        <v>10645</v>
      </c>
      <c r="E1538" s="313" t="s">
        <v>2233</v>
      </c>
      <c r="F1538" s="315" t="str">
        <f>IF(IF(A1538="","",COUNTIF(CONSOLIDADO!$A:$A,$A1538))=0,"REVISAR","OK")</f>
        <v>OK</v>
      </c>
    </row>
    <row r="1539" spans="1:6" x14ac:dyDescent="0.2">
      <c r="A1539" s="312" t="s">
        <v>855</v>
      </c>
      <c r="B1539" s="313" t="s">
        <v>1116</v>
      </c>
      <c r="C1539" s="312" t="s">
        <v>15</v>
      </c>
      <c r="D1539" s="314">
        <v>10789</v>
      </c>
      <c r="E1539" s="313" t="s">
        <v>2070</v>
      </c>
      <c r="F1539" s="315" t="str">
        <f>IF(IF(A1539="","",COUNTIF(CONSOLIDADO!$A:$A,$A1539))=0,"REVISAR","OK")</f>
        <v>OK</v>
      </c>
    </row>
    <row r="1540" spans="1:6" x14ac:dyDescent="0.2">
      <c r="A1540" s="312" t="s">
        <v>855</v>
      </c>
      <c r="B1540" s="313" t="s">
        <v>1116</v>
      </c>
      <c r="C1540" s="312" t="s">
        <v>15</v>
      </c>
      <c r="D1540" s="314">
        <v>11388</v>
      </c>
      <c r="E1540" s="313" t="s">
        <v>946</v>
      </c>
      <c r="F1540" s="315" t="str">
        <f>IF(IF(A1540="","",COUNTIF(CONSOLIDADO!$A:$A,$A1540))=0,"REVISAR","OK")</f>
        <v>OK</v>
      </c>
    </row>
    <row r="1541" spans="1:6" x14ac:dyDescent="0.2">
      <c r="A1541" s="312" t="s">
        <v>855</v>
      </c>
      <c r="B1541" s="313" t="s">
        <v>1116</v>
      </c>
      <c r="C1541" s="312" t="s">
        <v>15</v>
      </c>
      <c r="D1541" s="314">
        <v>11833</v>
      </c>
      <c r="E1541" s="313" t="s">
        <v>935</v>
      </c>
      <c r="F1541" s="315" t="str">
        <f>IF(IF(A1541="","",COUNTIF(CONSOLIDADO!$A:$A,$A1541))=0,"REVISAR","OK")</f>
        <v>OK</v>
      </c>
    </row>
    <row r="1542" spans="1:6" x14ac:dyDescent="0.2">
      <c r="A1542" s="312" t="s">
        <v>813</v>
      </c>
      <c r="B1542" s="313" t="s">
        <v>571</v>
      </c>
      <c r="C1542" s="312" t="s">
        <v>15</v>
      </c>
      <c r="D1542" s="314">
        <v>6545</v>
      </c>
      <c r="E1542" s="313" t="s">
        <v>982</v>
      </c>
      <c r="F1542" s="315" t="str">
        <f>IF(IF(A1542="","",COUNTIF(CONSOLIDADO!$A:$A,$A1542))=0,"REVISAR","OK")</f>
        <v>OK</v>
      </c>
    </row>
    <row r="1543" spans="1:6" x14ac:dyDescent="0.2">
      <c r="A1543" s="312" t="s">
        <v>813</v>
      </c>
      <c r="B1543" s="313" t="s">
        <v>571</v>
      </c>
      <c r="C1543" s="312" t="s">
        <v>15</v>
      </c>
      <c r="D1543" s="314">
        <v>7128</v>
      </c>
      <c r="E1543" s="313" t="s">
        <v>2210</v>
      </c>
      <c r="F1543" s="315" t="str">
        <f>IF(IF(A1543="","",COUNTIF(CONSOLIDADO!$A:$A,$A1543))=0,"REVISAR","OK")</f>
        <v>OK</v>
      </c>
    </row>
    <row r="1544" spans="1:6" x14ac:dyDescent="0.2">
      <c r="A1544" s="312" t="s">
        <v>813</v>
      </c>
      <c r="B1544" s="313" t="s">
        <v>571</v>
      </c>
      <c r="C1544" s="312" t="s">
        <v>15</v>
      </c>
      <c r="D1544" s="314">
        <v>7800</v>
      </c>
      <c r="E1544" s="313" t="s">
        <v>936</v>
      </c>
      <c r="F1544" s="315" t="str">
        <f>IF(IF(A1544="","",COUNTIF(CONSOLIDADO!$A:$A,$A1544))=0,"REVISAR","OK")</f>
        <v>OK</v>
      </c>
    </row>
    <row r="1545" spans="1:6" x14ac:dyDescent="0.2">
      <c r="A1545" s="312" t="s">
        <v>813</v>
      </c>
      <c r="B1545" s="313" t="s">
        <v>571</v>
      </c>
      <c r="C1545" s="312" t="s">
        <v>15</v>
      </c>
      <c r="D1545" s="314">
        <v>7996</v>
      </c>
      <c r="E1545" s="313" t="s">
        <v>2275</v>
      </c>
      <c r="F1545" s="315" t="str">
        <f>IF(IF(A1545="","",COUNTIF(CONSOLIDADO!$A:$A,$A1545))=0,"REVISAR","OK")</f>
        <v>OK</v>
      </c>
    </row>
    <row r="1546" spans="1:6" x14ac:dyDescent="0.2">
      <c r="A1546" s="312" t="s">
        <v>813</v>
      </c>
      <c r="B1546" s="313" t="s">
        <v>571</v>
      </c>
      <c r="C1546" s="312" t="s">
        <v>15</v>
      </c>
      <c r="D1546" s="314">
        <v>8330</v>
      </c>
      <c r="E1546" s="313" t="s">
        <v>949</v>
      </c>
      <c r="F1546" s="315" t="str">
        <f>IF(IF(A1546="","",COUNTIF(CONSOLIDADO!$A:$A,$A1546))=0,"REVISAR","OK")</f>
        <v>OK</v>
      </c>
    </row>
    <row r="1547" spans="1:6" x14ac:dyDescent="0.2">
      <c r="A1547" s="312" t="s">
        <v>757</v>
      </c>
      <c r="B1547" s="313" t="s">
        <v>468</v>
      </c>
      <c r="C1547" s="312" t="s">
        <v>111</v>
      </c>
      <c r="D1547" s="314">
        <v>416</v>
      </c>
      <c r="E1547" s="313" t="s">
        <v>982</v>
      </c>
      <c r="F1547" s="315" t="str">
        <f>IF(IF(A1547="","",COUNTIF(CONSOLIDADO!$A:$A,$A1547))=0,"REVISAR","OK")</f>
        <v>OK</v>
      </c>
    </row>
    <row r="1548" spans="1:6" x14ac:dyDescent="0.2">
      <c r="A1548" s="312" t="s">
        <v>757</v>
      </c>
      <c r="B1548" s="313" t="s">
        <v>468</v>
      </c>
      <c r="C1548" s="312" t="s">
        <v>111</v>
      </c>
      <c r="D1548" s="314">
        <v>451</v>
      </c>
      <c r="E1548" s="313" t="s">
        <v>2005</v>
      </c>
      <c r="F1548" s="315" t="str">
        <f>IF(IF(A1548="","",COUNTIF(CONSOLIDADO!$A:$A,$A1548))=0,"REVISAR","OK")</f>
        <v>OK</v>
      </c>
    </row>
    <row r="1549" spans="1:6" x14ac:dyDescent="0.2">
      <c r="A1549" s="312" t="s">
        <v>2056</v>
      </c>
      <c r="B1549" s="313" t="s">
        <v>2057</v>
      </c>
      <c r="C1549" s="312" t="s">
        <v>906</v>
      </c>
      <c r="D1549" s="314">
        <v>3130</v>
      </c>
      <c r="E1549" s="313" t="s">
        <v>948</v>
      </c>
      <c r="F1549" s="315" t="str">
        <f>IF(IF(A1549="","",COUNTIF(CONSOLIDADO!$A:$A,$A1549))=0,"REVISAR","OK")</f>
        <v>OK</v>
      </c>
    </row>
    <row r="1550" spans="1:6" x14ac:dyDescent="0.2">
      <c r="A1550" s="312" t="s">
        <v>1628</v>
      </c>
      <c r="B1550" s="313" t="s">
        <v>1629</v>
      </c>
      <c r="C1550" s="312" t="s">
        <v>906</v>
      </c>
      <c r="D1550" s="314">
        <v>7500</v>
      </c>
      <c r="E1550" s="313" t="s">
        <v>944</v>
      </c>
      <c r="F1550" s="315" t="str">
        <f>IF(IF(A1550="","",COUNTIF(CONSOLIDADO!$A:$A,$A1550))=0,"REVISAR","OK")</f>
        <v>OK</v>
      </c>
    </row>
    <row r="1551" spans="1:6" x14ac:dyDescent="0.2">
      <c r="A1551" s="312" t="s">
        <v>1170</v>
      </c>
      <c r="B1551" s="313" t="s">
        <v>1171</v>
      </c>
      <c r="C1551" s="312" t="s">
        <v>111</v>
      </c>
      <c r="D1551" s="314">
        <v>2630</v>
      </c>
      <c r="E1551" s="313" t="s">
        <v>930</v>
      </c>
      <c r="F1551" s="315" t="str">
        <f>IF(IF(A1551="","",COUNTIF(CONSOLIDADO!$A:$A,$A1551))=0,"REVISAR","OK")</f>
        <v>OK</v>
      </c>
    </row>
    <row r="1552" spans="1:6" x14ac:dyDescent="0.2">
      <c r="A1552" s="312" t="s">
        <v>791</v>
      </c>
      <c r="B1552" s="313" t="s">
        <v>500</v>
      </c>
      <c r="C1552" s="312" t="s">
        <v>111</v>
      </c>
      <c r="D1552" s="314">
        <v>930</v>
      </c>
      <c r="E1552" s="313" t="s">
        <v>2070</v>
      </c>
      <c r="F1552" s="315" t="str">
        <f>IF(IF(A1552="","",COUNTIF(CONSOLIDADO!$A:$A,$A1552))=0,"REVISAR","OK")</f>
        <v>OK</v>
      </c>
    </row>
    <row r="1553" spans="1:6" x14ac:dyDescent="0.2">
      <c r="A1553" s="312" t="s">
        <v>791</v>
      </c>
      <c r="B1553" s="313" t="s">
        <v>500</v>
      </c>
      <c r="C1553" s="312" t="s">
        <v>111</v>
      </c>
      <c r="D1553" s="314">
        <v>1446</v>
      </c>
      <c r="E1553" s="313" t="s">
        <v>946</v>
      </c>
      <c r="F1553" s="315" t="str">
        <f>IF(IF(A1553="","",COUNTIF(CONSOLIDADO!$A:$A,$A1553))=0,"REVISAR","OK")</f>
        <v>OK</v>
      </c>
    </row>
    <row r="1554" spans="1:6" x14ac:dyDescent="0.2">
      <c r="A1554" s="312" t="s">
        <v>1634</v>
      </c>
      <c r="B1554" s="313" t="s">
        <v>1500</v>
      </c>
      <c r="C1554" s="312" t="s">
        <v>942</v>
      </c>
      <c r="D1554" s="314">
        <v>10390</v>
      </c>
      <c r="E1554" s="313" t="s">
        <v>934</v>
      </c>
      <c r="F1554" s="315" t="str">
        <f>IF(IF(A1554="","",COUNTIF(CONSOLIDADO!$A:$A,$A1554))=0,"REVISAR","OK")</f>
        <v>OK</v>
      </c>
    </row>
    <row r="1555" spans="1:6" x14ac:dyDescent="0.2">
      <c r="A1555" s="312" t="s">
        <v>2308</v>
      </c>
      <c r="B1555" s="313" t="s">
        <v>2309</v>
      </c>
      <c r="C1555" s="312" t="s">
        <v>1007</v>
      </c>
      <c r="D1555" s="314">
        <v>1998</v>
      </c>
      <c r="E1555" s="313" t="s">
        <v>935</v>
      </c>
      <c r="F1555" s="315" t="str">
        <f>IF(IF(A1555="","",COUNTIF(CONSOLIDADO!$A:$A,$A1555))=0,"REVISAR","OK")</f>
        <v>OK</v>
      </c>
    </row>
    <row r="1556" spans="1:6" x14ac:dyDescent="0.2">
      <c r="A1556" s="312" t="s">
        <v>2308</v>
      </c>
      <c r="B1556" s="313" t="s">
        <v>2309</v>
      </c>
      <c r="C1556" s="312" t="s">
        <v>1007</v>
      </c>
      <c r="D1556" s="314">
        <v>2290</v>
      </c>
      <c r="E1556" s="313" t="s">
        <v>935</v>
      </c>
      <c r="F1556" s="315" t="str">
        <f>IF(IF(A1556="","",COUNTIF(CONSOLIDADO!$A:$A,$A1556))=0,"REVISAR","OK")</f>
        <v>OK</v>
      </c>
    </row>
    <row r="1557" spans="1:6" x14ac:dyDescent="0.2">
      <c r="A1557" s="312" t="s">
        <v>2308</v>
      </c>
      <c r="B1557" s="313" t="s">
        <v>2309</v>
      </c>
      <c r="C1557" s="312" t="s">
        <v>1007</v>
      </c>
      <c r="D1557" s="314">
        <v>2700</v>
      </c>
      <c r="E1557" s="313" t="s">
        <v>935</v>
      </c>
      <c r="F1557" s="315" t="str">
        <f>IF(IF(A1557="","",COUNTIF(CONSOLIDADO!$A:$A,$A1557))=0,"REVISAR","OK")</f>
        <v>OK</v>
      </c>
    </row>
    <row r="1558" spans="1:6" x14ac:dyDescent="0.2">
      <c r="A1558" s="312" t="s">
        <v>296</v>
      </c>
      <c r="B1558" s="313" t="s">
        <v>651</v>
      </c>
      <c r="C1558" s="312" t="s">
        <v>15</v>
      </c>
      <c r="D1558" s="314">
        <v>2608</v>
      </c>
      <c r="E1558" s="313" t="s">
        <v>930</v>
      </c>
      <c r="F1558" s="315" t="str">
        <f>IF(IF(A1558="","",COUNTIF(CONSOLIDADO!$A:$A,$A1558))=0,"REVISAR","OK")</f>
        <v>OK</v>
      </c>
    </row>
    <row r="1559" spans="1:6" x14ac:dyDescent="0.2">
      <c r="A1559" s="312" t="s">
        <v>296</v>
      </c>
      <c r="B1559" s="313" t="s">
        <v>651</v>
      </c>
      <c r="C1559" s="312" t="s">
        <v>15</v>
      </c>
      <c r="D1559" s="314">
        <v>3689</v>
      </c>
      <c r="E1559" s="313" t="s">
        <v>2146</v>
      </c>
      <c r="F1559" s="315" t="str">
        <f>IF(IF(A1559="","",COUNTIF(CONSOLIDADO!$A:$A,$A1559))=0,"REVISAR","OK")</f>
        <v>OK</v>
      </c>
    </row>
    <row r="1560" spans="1:6" x14ac:dyDescent="0.2">
      <c r="A1560" s="312" t="s">
        <v>296</v>
      </c>
      <c r="B1560" s="313" t="s">
        <v>651</v>
      </c>
      <c r="C1560" s="312" t="s">
        <v>15</v>
      </c>
      <c r="D1560" s="314">
        <v>3899</v>
      </c>
      <c r="E1560" s="313" t="s">
        <v>2258</v>
      </c>
      <c r="F1560" s="315" t="str">
        <f>IF(IF(A1560="","",COUNTIF(CONSOLIDADO!$A:$A,$A1560))=0,"REVISAR","OK")</f>
        <v>OK</v>
      </c>
    </row>
    <row r="1561" spans="1:6" x14ac:dyDescent="0.2">
      <c r="A1561" s="312" t="s">
        <v>680</v>
      </c>
      <c r="B1561" s="313" t="s">
        <v>485</v>
      </c>
      <c r="C1561" s="312" t="s">
        <v>947</v>
      </c>
      <c r="D1561" s="314">
        <v>2290</v>
      </c>
      <c r="E1561" s="313" t="s">
        <v>938</v>
      </c>
      <c r="F1561" s="315" t="str">
        <f>IF(IF(A1561="","",COUNTIF(CONSOLIDADO!$A:$A,$A1561))=0,"REVISAR","OK")</f>
        <v>OK</v>
      </c>
    </row>
    <row r="1562" spans="1:6" x14ac:dyDescent="0.2">
      <c r="A1562" s="312" t="s">
        <v>680</v>
      </c>
      <c r="B1562" s="313" t="s">
        <v>485</v>
      </c>
      <c r="C1562" s="312" t="s">
        <v>947</v>
      </c>
      <c r="D1562" s="314">
        <v>2465</v>
      </c>
      <c r="E1562" s="313" t="s">
        <v>951</v>
      </c>
      <c r="F1562" s="315" t="str">
        <f>IF(IF(A1562="","",COUNTIF(CONSOLIDADO!$A:$A,$A1562))=0,"REVISAR","OK")</f>
        <v>OK</v>
      </c>
    </row>
    <row r="1563" spans="1:6" x14ac:dyDescent="0.2">
      <c r="A1563" s="312" t="s">
        <v>680</v>
      </c>
      <c r="B1563" s="313" t="s">
        <v>485</v>
      </c>
      <c r="C1563" s="312" t="s">
        <v>947</v>
      </c>
      <c r="D1563" s="314">
        <v>2856</v>
      </c>
      <c r="E1563" s="313" t="s">
        <v>2258</v>
      </c>
      <c r="F1563" s="315" t="str">
        <f>IF(IF(A1563="","",COUNTIF(CONSOLIDADO!$A:$A,$A1563))=0,"REVISAR","OK")</f>
        <v>OK</v>
      </c>
    </row>
    <row r="1564" spans="1:6" x14ac:dyDescent="0.2">
      <c r="A1564" s="312" t="s">
        <v>680</v>
      </c>
      <c r="B1564" s="313" t="s">
        <v>485</v>
      </c>
      <c r="C1564" s="312" t="s">
        <v>947</v>
      </c>
      <c r="D1564" s="314">
        <v>3990</v>
      </c>
      <c r="E1564" s="313" t="s">
        <v>931</v>
      </c>
      <c r="F1564" s="315" t="str">
        <f>IF(IF(A1564="","",COUNTIF(CONSOLIDADO!$A:$A,$A1564))=0,"REVISAR","OK")</f>
        <v>OK</v>
      </c>
    </row>
    <row r="1565" spans="1:6" x14ac:dyDescent="0.2">
      <c r="A1565" s="312" t="s">
        <v>1637</v>
      </c>
      <c r="B1565" s="313" t="s">
        <v>1638</v>
      </c>
      <c r="C1565" s="312" t="s">
        <v>906</v>
      </c>
      <c r="D1565" s="314">
        <v>339</v>
      </c>
      <c r="E1565" s="313" t="s">
        <v>935</v>
      </c>
      <c r="F1565" s="315" t="str">
        <f>IF(IF(A1565="","",COUNTIF(CONSOLIDADO!$A:$A,$A1565))=0,"REVISAR","OK")</f>
        <v>OK</v>
      </c>
    </row>
    <row r="1566" spans="1:6" x14ac:dyDescent="0.2">
      <c r="A1566" s="312" t="s">
        <v>768</v>
      </c>
      <c r="B1566" s="313" t="s">
        <v>767</v>
      </c>
      <c r="C1566" s="312" t="s">
        <v>906</v>
      </c>
      <c r="D1566" s="314">
        <v>1250</v>
      </c>
      <c r="E1566" s="313" t="s">
        <v>2274</v>
      </c>
      <c r="F1566" s="315" t="str">
        <f>IF(IF(A1566="","",COUNTIF(CONSOLIDADO!$A:$A,$A1566))=0,"REVISAR","OK")</f>
        <v>OK</v>
      </c>
    </row>
    <row r="1567" spans="1:6" x14ac:dyDescent="0.2">
      <c r="A1567" s="312" t="s">
        <v>768</v>
      </c>
      <c r="B1567" s="313" t="s">
        <v>767</v>
      </c>
      <c r="C1567" s="312" t="s">
        <v>906</v>
      </c>
      <c r="D1567" s="314">
        <v>2290</v>
      </c>
      <c r="E1567" s="313" t="s">
        <v>951</v>
      </c>
      <c r="F1567" s="315" t="str">
        <f>IF(IF(A1567="","",COUNTIF(CONSOLIDADO!$A:$A,$A1567))=0,"REVISAR","OK")</f>
        <v>OK</v>
      </c>
    </row>
    <row r="1568" spans="1:6" x14ac:dyDescent="0.2">
      <c r="A1568" s="312" t="s">
        <v>768</v>
      </c>
      <c r="B1568" s="313" t="s">
        <v>767</v>
      </c>
      <c r="C1568" s="312" t="s">
        <v>906</v>
      </c>
      <c r="D1568" s="314">
        <v>2499</v>
      </c>
      <c r="E1568" s="313" t="s">
        <v>929</v>
      </c>
      <c r="F1568" s="315" t="str">
        <f>IF(IF(A1568="","",COUNTIF(CONSOLIDADO!$A:$A,$A1568))=0,"REVISAR","OK")</f>
        <v>OK</v>
      </c>
    </row>
    <row r="1569" spans="1:6" x14ac:dyDescent="0.2">
      <c r="A1569" s="312" t="s">
        <v>768</v>
      </c>
      <c r="B1569" s="313" t="s">
        <v>767</v>
      </c>
      <c r="C1569" s="312" t="s">
        <v>906</v>
      </c>
      <c r="D1569" s="314">
        <v>2514</v>
      </c>
      <c r="E1569" s="313" t="s">
        <v>951</v>
      </c>
      <c r="F1569" s="315" t="str">
        <f>IF(IF(A1569="","",COUNTIF(CONSOLIDADO!$A:$A,$A1569))=0,"REVISAR","OK")</f>
        <v>OK</v>
      </c>
    </row>
    <row r="1570" spans="1:6" x14ac:dyDescent="0.2">
      <c r="A1570" s="312" t="s">
        <v>768</v>
      </c>
      <c r="B1570" s="313" t="s">
        <v>767</v>
      </c>
      <c r="C1570" s="312" t="s">
        <v>906</v>
      </c>
      <c r="D1570" s="314">
        <v>3213</v>
      </c>
      <c r="E1570" s="313" t="s">
        <v>1115</v>
      </c>
      <c r="F1570" s="315" t="str">
        <f>IF(IF(A1570="","",COUNTIF(CONSOLIDADO!$A:$A,$A1570))=0,"REVISAR","OK")</f>
        <v>OK</v>
      </c>
    </row>
    <row r="1571" spans="1:6" x14ac:dyDescent="0.2">
      <c r="A1571" s="312" t="s">
        <v>768</v>
      </c>
      <c r="B1571" s="313" t="s">
        <v>767</v>
      </c>
      <c r="C1571" s="312" t="s">
        <v>906</v>
      </c>
      <c r="D1571" s="314">
        <v>3310</v>
      </c>
      <c r="E1571" s="313" t="s">
        <v>934</v>
      </c>
      <c r="F1571" s="315" t="str">
        <f>IF(IF(A1571="","",COUNTIF(CONSOLIDADO!$A:$A,$A1571))=0,"REVISAR","OK")</f>
        <v>OK</v>
      </c>
    </row>
    <row r="1572" spans="1:6" x14ac:dyDescent="0.2">
      <c r="A1572" s="312" t="s">
        <v>768</v>
      </c>
      <c r="B1572" s="313" t="s">
        <v>767</v>
      </c>
      <c r="C1572" s="312" t="s">
        <v>906</v>
      </c>
      <c r="D1572" s="314">
        <v>3400</v>
      </c>
      <c r="E1572" s="313" t="s">
        <v>2073</v>
      </c>
      <c r="F1572" s="315" t="str">
        <f>IF(IF(A1572="","",COUNTIF(CONSOLIDADO!$A:$A,$A1572))=0,"REVISAR","OK")</f>
        <v>OK</v>
      </c>
    </row>
    <row r="1573" spans="1:6" x14ac:dyDescent="0.2">
      <c r="A1573" s="312" t="s">
        <v>768</v>
      </c>
      <c r="B1573" s="313" t="s">
        <v>767</v>
      </c>
      <c r="C1573" s="312" t="s">
        <v>906</v>
      </c>
      <c r="D1573" s="314">
        <v>3850</v>
      </c>
      <c r="E1573" s="313" t="s">
        <v>974</v>
      </c>
      <c r="F1573" s="315" t="str">
        <f>IF(IF(A1573="","",COUNTIF(CONSOLIDADO!$A:$A,$A1573))=0,"REVISAR","OK")</f>
        <v>OK</v>
      </c>
    </row>
    <row r="1574" spans="1:6" x14ac:dyDescent="0.2">
      <c r="A1574" s="312" t="s">
        <v>768</v>
      </c>
      <c r="B1574" s="313" t="s">
        <v>767</v>
      </c>
      <c r="C1574" s="312" t="s">
        <v>906</v>
      </c>
      <c r="D1574" s="314">
        <v>3850</v>
      </c>
      <c r="E1574" s="313" t="s">
        <v>940</v>
      </c>
      <c r="F1574" s="315" t="str">
        <f>IF(IF(A1574="","",COUNTIF(CONSOLIDADO!$A:$A,$A1574))=0,"REVISAR","OK")</f>
        <v>OK</v>
      </c>
    </row>
    <row r="1575" spans="1:6" x14ac:dyDescent="0.2">
      <c r="A1575" s="312" t="s">
        <v>768</v>
      </c>
      <c r="B1575" s="313" t="s">
        <v>767</v>
      </c>
      <c r="C1575" s="312" t="s">
        <v>906</v>
      </c>
      <c r="D1575" s="314">
        <v>3871</v>
      </c>
      <c r="E1575" s="313" t="s">
        <v>949</v>
      </c>
      <c r="F1575" s="315" t="str">
        <f>IF(IF(A1575="","",COUNTIF(CONSOLIDADO!$A:$A,$A1575))=0,"REVISAR","OK")</f>
        <v>OK</v>
      </c>
    </row>
    <row r="1576" spans="1:6" x14ac:dyDescent="0.2">
      <c r="A1576" s="312" t="s">
        <v>768</v>
      </c>
      <c r="B1576" s="313" t="s">
        <v>767</v>
      </c>
      <c r="C1576" s="312" t="s">
        <v>906</v>
      </c>
      <c r="D1576" s="314">
        <v>7200</v>
      </c>
      <c r="E1576" s="313" t="s">
        <v>936</v>
      </c>
      <c r="F1576" s="315" t="str">
        <f>IF(IF(A1576="","",COUNTIF(CONSOLIDADO!$A:$A,$A1576))=0,"REVISAR","OK")</f>
        <v>OK</v>
      </c>
    </row>
    <row r="1577" spans="1:6" x14ac:dyDescent="0.2">
      <c r="A1577" s="312" t="s">
        <v>683</v>
      </c>
      <c r="B1577" s="313" t="s">
        <v>516</v>
      </c>
      <c r="C1577" s="312" t="s">
        <v>111</v>
      </c>
      <c r="D1577" s="314">
        <v>511</v>
      </c>
      <c r="E1577" s="313" t="s">
        <v>939</v>
      </c>
      <c r="F1577" s="315" t="str">
        <f>IF(IF(A1577="","",COUNTIF(CONSOLIDADO!$A:$A,$A1577))=0,"REVISAR","OK")</f>
        <v>OK</v>
      </c>
    </row>
    <row r="1578" spans="1:6" x14ac:dyDescent="0.2">
      <c r="A1578" s="312" t="s">
        <v>683</v>
      </c>
      <c r="B1578" s="313" t="s">
        <v>516</v>
      </c>
      <c r="C1578" s="312" t="s">
        <v>111</v>
      </c>
      <c r="D1578" s="314">
        <v>535</v>
      </c>
      <c r="E1578" s="313" t="s">
        <v>982</v>
      </c>
      <c r="F1578" s="315" t="str">
        <f>IF(IF(A1578="","",COUNTIF(CONSOLIDADO!$A:$A,$A1578))=0,"REVISAR","OK")</f>
        <v>OK</v>
      </c>
    </row>
    <row r="1579" spans="1:6" x14ac:dyDescent="0.2">
      <c r="A1579" s="312" t="s">
        <v>683</v>
      </c>
      <c r="B1579" s="313" t="s">
        <v>516</v>
      </c>
      <c r="C1579" s="312" t="s">
        <v>111</v>
      </c>
      <c r="D1579" s="314">
        <v>607</v>
      </c>
      <c r="E1579" s="313" t="s">
        <v>2005</v>
      </c>
      <c r="F1579" s="315" t="str">
        <f>IF(IF(A1579="","",COUNTIF(CONSOLIDADO!$A:$A,$A1579))=0,"REVISAR","OK")</f>
        <v>OK</v>
      </c>
    </row>
    <row r="1580" spans="1:6" x14ac:dyDescent="0.2">
      <c r="A1580" s="312" t="s">
        <v>1177</v>
      </c>
      <c r="B1580" s="313" t="s">
        <v>1178</v>
      </c>
      <c r="C1580" s="312" t="s">
        <v>906</v>
      </c>
      <c r="D1580" s="314">
        <v>750</v>
      </c>
      <c r="E1580" s="313" t="s">
        <v>948</v>
      </c>
      <c r="F1580" s="315" t="str">
        <f>IF(IF(A1580="","",COUNTIF(CONSOLIDADO!$A:$A,$A1580))=0,"REVISAR","OK")</f>
        <v>OK</v>
      </c>
    </row>
    <row r="1581" spans="1:6" x14ac:dyDescent="0.2">
      <c r="A1581" s="312" t="s">
        <v>1655</v>
      </c>
      <c r="B1581" s="313" t="s">
        <v>1656</v>
      </c>
      <c r="C1581" s="312" t="s">
        <v>111</v>
      </c>
      <c r="D1581" s="314">
        <v>1213</v>
      </c>
      <c r="E1581" s="313" t="s">
        <v>936</v>
      </c>
      <c r="F1581" s="315" t="str">
        <f>IF(IF(A1581="","",COUNTIF(CONSOLIDADO!$A:$A,$A1581))=0,"REVISAR","OK")</f>
        <v>OK</v>
      </c>
    </row>
    <row r="1582" spans="1:6" x14ac:dyDescent="0.2">
      <c r="A1582" s="312" t="s">
        <v>1658</v>
      </c>
      <c r="B1582" s="313" t="s">
        <v>1659</v>
      </c>
      <c r="C1582" s="312" t="s">
        <v>15</v>
      </c>
      <c r="D1582" s="314">
        <v>2500</v>
      </c>
      <c r="E1582" s="313" t="s">
        <v>1074</v>
      </c>
      <c r="F1582" s="315" t="str">
        <f>IF(IF(A1582="","",COUNTIF(CONSOLIDADO!$A:$A,$A1582))=0,"REVISAR","OK")</f>
        <v>OK</v>
      </c>
    </row>
    <row r="1583" spans="1:6" x14ac:dyDescent="0.2">
      <c r="A1583" s="312" t="s">
        <v>793</v>
      </c>
      <c r="B1583" s="313" t="s">
        <v>501</v>
      </c>
      <c r="C1583" s="312" t="s">
        <v>111</v>
      </c>
      <c r="D1583" s="314">
        <v>714</v>
      </c>
      <c r="E1583" s="313" t="s">
        <v>1115</v>
      </c>
      <c r="F1583" s="315" t="str">
        <f>IF(IF(A1583="","",COUNTIF(CONSOLIDADO!$A:$A,$A1583))=0,"REVISAR","OK")</f>
        <v>OK</v>
      </c>
    </row>
    <row r="1584" spans="1:6" x14ac:dyDescent="0.2">
      <c r="A1584" s="312" t="s">
        <v>793</v>
      </c>
      <c r="B1584" s="313" t="s">
        <v>501</v>
      </c>
      <c r="C1584" s="312" t="s">
        <v>111</v>
      </c>
      <c r="D1584" s="314">
        <v>1071</v>
      </c>
      <c r="E1584" s="313" t="s">
        <v>2258</v>
      </c>
      <c r="F1584" s="315" t="str">
        <f>IF(IF(A1584="","",COUNTIF(CONSOLIDADO!$A:$A,$A1584))=0,"REVISAR","OK")</f>
        <v>OK</v>
      </c>
    </row>
    <row r="1585" spans="1:6" x14ac:dyDescent="0.2">
      <c r="A1585" s="312" t="s">
        <v>793</v>
      </c>
      <c r="B1585" s="313" t="s">
        <v>501</v>
      </c>
      <c r="C1585" s="312" t="s">
        <v>111</v>
      </c>
      <c r="D1585" s="314">
        <v>1200</v>
      </c>
      <c r="E1585" s="313" t="s">
        <v>931</v>
      </c>
      <c r="F1585" s="315" t="str">
        <f>IF(IF(A1585="","",COUNTIF(CONSOLIDADO!$A:$A,$A1585))=0,"REVISAR","OK")</f>
        <v>OK</v>
      </c>
    </row>
    <row r="1586" spans="1:6" x14ac:dyDescent="0.2">
      <c r="A1586" s="312" t="s">
        <v>1660</v>
      </c>
      <c r="B1586" s="313" t="s">
        <v>968</v>
      </c>
      <c r="C1586" s="312" t="s">
        <v>15</v>
      </c>
      <c r="D1586" s="314">
        <v>8200</v>
      </c>
      <c r="E1586" s="313" t="s">
        <v>974</v>
      </c>
      <c r="F1586" s="315" t="str">
        <f>IF(IF(A1586="","",COUNTIF(CONSOLIDADO!$A:$A,$A1586))=0,"REVISAR","OK")</f>
        <v>OK</v>
      </c>
    </row>
    <row r="1587" spans="1:6" x14ac:dyDescent="0.2">
      <c r="A1587" s="312" t="s">
        <v>1660</v>
      </c>
      <c r="B1587" s="313" t="s">
        <v>968</v>
      </c>
      <c r="C1587" s="312" t="s">
        <v>15</v>
      </c>
      <c r="D1587" s="314">
        <v>8200</v>
      </c>
      <c r="E1587" s="313" t="s">
        <v>976</v>
      </c>
      <c r="F1587" s="315" t="str">
        <f>IF(IF(A1587="","",COUNTIF(CONSOLIDADO!$A:$A,$A1587))=0,"REVISAR","OK")</f>
        <v>OK</v>
      </c>
    </row>
    <row r="1588" spans="1:6" x14ac:dyDescent="0.2">
      <c r="A1588" s="312" t="s">
        <v>1660</v>
      </c>
      <c r="B1588" s="313" t="s">
        <v>968</v>
      </c>
      <c r="C1588" s="312" t="s">
        <v>15</v>
      </c>
      <c r="D1588" s="314">
        <v>9250</v>
      </c>
      <c r="E1588" s="313" t="s">
        <v>940</v>
      </c>
      <c r="F1588" s="315" t="str">
        <f>IF(IF(A1588="","",COUNTIF(CONSOLIDADO!$A:$A,$A1588))=0,"REVISAR","OK")</f>
        <v>OK</v>
      </c>
    </row>
    <row r="1589" spans="1:6" x14ac:dyDescent="0.2">
      <c r="A1589" s="312" t="s">
        <v>1660</v>
      </c>
      <c r="B1589" s="313" t="s">
        <v>968</v>
      </c>
      <c r="C1589" s="312" t="s">
        <v>15</v>
      </c>
      <c r="D1589" s="314">
        <v>9250</v>
      </c>
      <c r="E1589" s="313" t="s">
        <v>974</v>
      </c>
      <c r="F1589" s="315" t="str">
        <f>IF(IF(A1589="","",COUNTIF(CONSOLIDADO!$A:$A,$A1589))=0,"REVISAR","OK")</f>
        <v>OK</v>
      </c>
    </row>
    <row r="1590" spans="1:6" x14ac:dyDescent="0.2">
      <c r="A1590" s="312" t="s">
        <v>1663</v>
      </c>
      <c r="B1590" s="313" t="s">
        <v>1664</v>
      </c>
      <c r="C1590" s="312" t="s">
        <v>906</v>
      </c>
      <c r="D1590" s="314">
        <v>490</v>
      </c>
      <c r="E1590" s="313" t="s">
        <v>945</v>
      </c>
      <c r="F1590" s="315" t="str">
        <f>IF(IF(A1590="","",COUNTIF(CONSOLIDADO!$A:$A,$A1590))=0,"REVISAR","OK")</f>
        <v>OK</v>
      </c>
    </row>
    <row r="1591" spans="1:6" x14ac:dyDescent="0.2">
      <c r="A1591" s="312" t="s">
        <v>1665</v>
      </c>
      <c r="B1591" s="313" t="s">
        <v>1666</v>
      </c>
      <c r="C1591" s="312" t="s">
        <v>906</v>
      </c>
      <c r="D1591" s="314">
        <v>1990</v>
      </c>
      <c r="E1591" s="313" t="s">
        <v>931</v>
      </c>
      <c r="F1591" s="315" t="str">
        <f>IF(IF(A1591="","",COUNTIF(CONSOLIDADO!$A:$A,$A1591))=0,"REVISAR","OK")</f>
        <v>OK</v>
      </c>
    </row>
    <row r="1592" spans="1:6" x14ac:dyDescent="0.2">
      <c r="A1592" s="312" t="s">
        <v>1667</v>
      </c>
      <c r="B1592" s="313" t="s">
        <v>1668</v>
      </c>
      <c r="C1592" s="312" t="s">
        <v>906</v>
      </c>
      <c r="D1592" s="314">
        <v>1700</v>
      </c>
      <c r="E1592" s="313" t="s">
        <v>945</v>
      </c>
      <c r="F1592" s="315" t="str">
        <f>IF(IF(A1592="","",COUNTIF(CONSOLIDADO!$A:$A,$A1592))=0,"REVISAR","OK")</f>
        <v>OK</v>
      </c>
    </row>
    <row r="1593" spans="1:6" x14ac:dyDescent="0.2">
      <c r="A1593" s="312" t="s">
        <v>1669</v>
      </c>
      <c r="B1593" s="313" t="s">
        <v>558</v>
      </c>
      <c r="C1593" s="312" t="s">
        <v>947</v>
      </c>
      <c r="D1593" s="314">
        <v>1428</v>
      </c>
      <c r="E1593" s="313" t="s">
        <v>949</v>
      </c>
      <c r="F1593" s="315" t="str">
        <f>IF(IF(A1593="","",COUNTIF(CONSOLIDADO!$A:$A,$A1593))=0,"REVISAR","OK")</f>
        <v>OK</v>
      </c>
    </row>
    <row r="1594" spans="1:6" x14ac:dyDescent="0.2">
      <c r="A1594" s="312" t="s">
        <v>1182</v>
      </c>
      <c r="B1594" s="313" t="s">
        <v>1183</v>
      </c>
      <c r="C1594" s="312" t="s">
        <v>906</v>
      </c>
      <c r="D1594" s="314">
        <v>6080</v>
      </c>
      <c r="E1594" s="313" t="s">
        <v>2073</v>
      </c>
      <c r="F1594" s="315" t="str">
        <f>IF(IF(A1594="","",COUNTIF(CONSOLIDADO!$A:$A,$A1594))=0,"REVISAR","OK")</f>
        <v>OK</v>
      </c>
    </row>
    <row r="1595" spans="1:6" x14ac:dyDescent="0.2">
      <c r="A1595" s="312" t="s">
        <v>674</v>
      </c>
      <c r="B1595" s="313" t="s">
        <v>469</v>
      </c>
      <c r="C1595" s="312" t="s">
        <v>1007</v>
      </c>
      <c r="D1595" s="314">
        <v>790</v>
      </c>
      <c r="E1595" s="313" t="s">
        <v>930</v>
      </c>
      <c r="F1595" s="315" t="str">
        <f>IF(IF(A1595="","",COUNTIF(CONSOLIDADO!$A:$A,$A1595))=0,"REVISAR","OK")</f>
        <v>OK</v>
      </c>
    </row>
    <row r="1596" spans="1:6" x14ac:dyDescent="0.2">
      <c r="A1596" s="312" t="s">
        <v>674</v>
      </c>
      <c r="B1596" s="313" t="s">
        <v>469</v>
      </c>
      <c r="C1596" s="312" t="s">
        <v>1007</v>
      </c>
      <c r="D1596" s="314">
        <v>7080</v>
      </c>
      <c r="E1596" s="313" t="s">
        <v>935</v>
      </c>
      <c r="F1596" s="315" t="str">
        <f>IF(IF(A1596="","",COUNTIF(CONSOLIDADO!$A:$A,$A1596))=0,"REVISAR","OK")</f>
        <v>OK</v>
      </c>
    </row>
    <row r="1597" spans="1:6" x14ac:dyDescent="0.2">
      <c r="A1597" s="312" t="s">
        <v>1188</v>
      </c>
      <c r="B1597" s="313" t="s">
        <v>471</v>
      </c>
      <c r="C1597" s="312" t="s">
        <v>1007</v>
      </c>
      <c r="D1597" s="314">
        <v>800</v>
      </c>
      <c r="E1597" s="313" t="s">
        <v>933</v>
      </c>
      <c r="F1597" s="315" t="str">
        <f>IF(IF(A1597="","",COUNTIF(CONSOLIDADO!$A:$A,$A1597))=0,"REVISAR","OK")</f>
        <v>OK</v>
      </c>
    </row>
    <row r="1598" spans="1:6" x14ac:dyDescent="0.2">
      <c r="A1598" s="312" t="s">
        <v>1189</v>
      </c>
      <c r="B1598" s="313" t="s">
        <v>1190</v>
      </c>
      <c r="C1598" s="312" t="s">
        <v>15</v>
      </c>
      <c r="D1598" s="314">
        <v>3690</v>
      </c>
      <c r="E1598" s="313" t="s">
        <v>930</v>
      </c>
      <c r="F1598" s="315" t="str">
        <f>IF(IF(A1598="","",COUNTIF(CONSOLIDADO!$A:$A,$A1598))=0,"REVISAR","OK")</f>
        <v>OK</v>
      </c>
    </row>
    <row r="1599" spans="1:6" x14ac:dyDescent="0.2">
      <c r="A1599" s="312" t="s">
        <v>1189</v>
      </c>
      <c r="B1599" s="313" t="s">
        <v>1190</v>
      </c>
      <c r="C1599" s="312" t="s">
        <v>15</v>
      </c>
      <c r="D1599" s="314">
        <v>4750</v>
      </c>
      <c r="E1599" s="313" t="s">
        <v>2276</v>
      </c>
      <c r="F1599" s="315" t="str">
        <f>IF(IF(A1599="","",COUNTIF(CONSOLIDADO!$A:$A,$A1599))=0,"REVISAR","OK")</f>
        <v>OK</v>
      </c>
    </row>
    <row r="1600" spans="1:6" x14ac:dyDescent="0.2">
      <c r="A1600" s="312" t="s">
        <v>1189</v>
      </c>
      <c r="B1600" s="313" t="s">
        <v>1190</v>
      </c>
      <c r="C1600" s="312" t="s">
        <v>15</v>
      </c>
      <c r="D1600" s="314">
        <v>8000</v>
      </c>
      <c r="E1600" s="313" t="s">
        <v>938</v>
      </c>
      <c r="F1600" s="315" t="str">
        <f>IF(IF(A1600="","",COUNTIF(CONSOLIDADO!$A:$A,$A1600))=0,"REVISAR","OK")</f>
        <v>OK</v>
      </c>
    </row>
    <row r="1601" spans="1:6" x14ac:dyDescent="0.2">
      <c r="A1601" s="312" t="s">
        <v>1189</v>
      </c>
      <c r="B1601" s="313" t="s">
        <v>1190</v>
      </c>
      <c r="C1601" s="312" t="s">
        <v>15</v>
      </c>
      <c r="D1601" s="314">
        <v>8211</v>
      </c>
      <c r="E1601" s="313" t="s">
        <v>2146</v>
      </c>
      <c r="F1601" s="315" t="str">
        <f>IF(IF(A1601="","",COUNTIF(CONSOLIDADO!$A:$A,$A1601))=0,"REVISAR","OK")</f>
        <v>OK</v>
      </c>
    </row>
    <row r="1602" spans="1:6" x14ac:dyDescent="0.2">
      <c r="A1602" s="312" t="s">
        <v>1189</v>
      </c>
      <c r="B1602" s="313" t="s">
        <v>1190</v>
      </c>
      <c r="C1602" s="312" t="s">
        <v>15</v>
      </c>
      <c r="D1602" s="314">
        <v>8925</v>
      </c>
      <c r="E1602" s="313" t="s">
        <v>1115</v>
      </c>
      <c r="F1602" s="315" t="str">
        <f>IF(IF(A1602="","",COUNTIF(CONSOLIDADO!$A:$A,$A1602))=0,"REVISAR","OK")</f>
        <v>OK</v>
      </c>
    </row>
    <row r="1603" spans="1:6" x14ac:dyDescent="0.2">
      <c r="A1603" s="312" t="s">
        <v>1189</v>
      </c>
      <c r="B1603" s="313" t="s">
        <v>1190</v>
      </c>
      <c r="C1603" s="312" t="s">
        <v>15</v>
      </c>
      <c r="D1603" s="314">
        <v>9150</v>
      </c>
      <c r="E1603" s="313" t="s">
        <v>974</v>
      </c>
      <c r="F1603" s="315" t="str">
        <f>IF(IF(A1603="","",COUNTIF(CONSOLIDADO!$A:$A,$A1603))=0,"REVISAR","OK")</f>
        <v>OK</v>
      </c>
    </row>
    <row r="1604" spans="1:6" x14ac:dyDescent="0.2">
      <c r="A1604" s="312" t="s">
        <v>1189</v>
      </c>
      <c r="B1604" s="313" t="s">
        <v>1190</v>
      </c>
      <c r="C1604" s="312" t="s">
        <v>15</v>
      </c>
      <c r="D1604" s="314">
        <v>9535</v>
      </c>
      <c r="E1604" s="313" t="s">
        <v>2005</v>
      </c>
      <c r="F1604" s="315" t="str">
        <f>IF(IF(A1604="","",COUNTIF(CONSOLIDADO!$A:$A,$A1604))=0,"REVISAR","OK")</f>
        <v>OK</v>
      </c>
    </row>
    <row r="1605" spans="1:6" x14ac:dyDescent="0.2">
      <c r="A1605" s="312" t="s">
        <v>1189</v>
      </c>
      <c r="B1605" s="313" t="s">
        <v>1190</v>
      </c>
      <c r="C1605" s="312" t="s">
        <v>15</v>
      </c>
      <c r="D1605" s="314">
        <v>10421</v>
      </c>
      <c r="E1605" s="313" t="s">
        <v>937</v>
      </c>
      <c r="F1605" s="315" t="str">
        <f>IF(IF(A1605="","",COUNTIF(CONSOLIDADO!$A:$A,$A1605))=0,"REVISAR","OK")</f>
        <v>OK</v>
      </c>
    </row>
    <row r="1606" spans="1:6" x14ac:dyDescent="0.2">
      <c r="A1606" s="312" t="s">
        <v>1189</v>
      </c>
      <c r="B1606" s="313" t="s">
        <v>1190</v>
      </c>
      <c r="C1606" s="312" t="s">
        <v>15</v>
      </c>
      <c r="D1606" s="314">
        <v>10729</v>
      </c>
      <c r="E1606" s="313" t="s">
        <v>935</v>
      </c>
      <c r="F1606" s="315" t="str">
        <f>IF(IF(A1606="","",COUNTIF(CONSOLIDADO!$A:$A,$A1606))=0,"REVISAR","OK")</f>
        <v>OK</v>
      </c>
    </row>
    <row r="1607" spans="1:6" x14ac:dyDescent="0.2">
      <c r="A1607" s="312" t="s">
        <v>1189</v>
      </c>
      <c r="B1607" s="313" t="s">
        <v>1190</v>
      </c>
      <c r="C1607" s="312" t="s">
        <v>15</v>
      </c>
      <c r="D1607" s="314">
        <v>11388</v>
      </c>
      <c r="E1607" s="313" t="s">
        <v>2210</v>
      </c>
      <c r="F1607" s="315" t="str">
        <f>IF(IF(A1607="","",COUNTIF(CONSOLIDADO!$A:$A,$A1607))=0,"REVISAR","OK")</f>
        <v>OK</v>
      </c>
    </row>
    <row r="1608" spans="1:6" x14ac:dyDescent="0.2">
      <c r="A1608" s="312" t="s">
        <v>676</v>
      </c>
      <c r="B1608" s="313" t="s">
        <v>1797</v>
      </c>
      <c r="C1608" s="312" t="s">
        <v>15</v>
      </c>
      <c r="D1608" s="314">
        <v>6169</v>
      </c>
      <c r="E1608" s="313" t="s">
        <v>944</v>
      </c>
      <c r="F1608" s="315" t="str">
        <f>IF(IF(A1608="","",COUNTIF(CONSOLIDADO!$A:$A,$A1608))=0,"REVISAR","OK")</f>
        <v>OK</v>
      </c>
    </row>
    <row r="1609" spans="1:6" x14ac:dyDescent="0.2">
      <c r="A1609" s="312" t="s">
        <v>1191</v>
      </c>
      <c r="B1609" s="313" t="s">
        <v>25</v>
      </c>
      <c r="C1609" s="312" t="s">
        <v>956</v>
      </c>
      <c r="D1609" s="314">
        <v>1690</v>
      </c>
      <c r="E1609" s="313" t="s">
        <v>2276</v>
      </c>
      <c r="F1609" s="315" t="str">
        <f>IF(IF(A1609="","",COUNTIF(CONSOLIDADO!$A:$A,$A1609))=0,"REVISAR","OK")</f>
        <v>OK</v>
      </c>
    </row>
    <row r="1610" spans="1:6" x14ac:dyDescent="0.2">
      <c r="A1610" s="312" t="s">
        <v>693</v>
      </c>
      <c r="B1610" s="313" t="s">
        <v>520</v>
      </c>
      <c r="C1610" s="312" t="s">
        <v>15</v>
      </c>
      <c r="D1610" s="314">
        <v>1071</v>
      </c>
      <c r="E1610" s="313" t="s">
        <v>982</v>
      </c>
      <c r="F1610" s="315" t="str">
        <f>IF(IF(A1610="","",COUNTIF(CONSOLIDADO!$A:$A,$A1610))=0,"REVISAR","OK")</f>
        <v>OK</v>
      </c>
    </row>
    <row r="1611" spans="1:6" x14ac:dyDescent="0.2">
      <c r="A1611" s="312" t="s">
        <v>693</v>
      </c>
      <c r="B1611" s="313" t="s">
        <v>520</v>
      </c>
      <c r="C1611" s="312" t="s">
        <v>15</v>
      </c>
      <c r="D1611" s="314">
        <v>1170</v>
      </c>
      <c r="E1611" s="313" t="s">
        <v>931</v>
      </c>
      <c r="F1611" s="315" t="str">
        <f>IF(IF(A1611="","",COUNTIF(CONSOLIDADO!$A:$A,$A1611))=0,"REVISAR","OK")</f>
        <v>OK</v>
      </c>
    </row>
    <row r="1612" spans="1:6" x14ac:dyDescent="0.2">
      <c r="A1612" s="312" t="s">
        <v>693</v>
      </c>
      <c r="B1612" s="313" t="s">
        <v>520</v>
      </c>
      <c r="C1612" s="312" t="s">
        <v>15</v>
      </c>
      <c r="D1612" s="314">
        <v>1850</v>
      </c>
      <c r="E1612" s="313" t="s">
        <v>945</v>
      </c>
      <c r="F1612" s="315" t="str">
        <f>IF(IF(A1612="","",COUNTIF(CONSOLIDADO!$A:$A,$A1612))=0,"REVISAR","OK")</f>
        <v>OK</v>
      </c>
    </row>
    <row r="1613" spans="1:6" x14ac:dyDescent="0.2">
      <c r="A1613" s="312" t="s">
        <v>1693</v>
      </c>
      <c r="B1613" s="313" t="s">
        <v>227</v>
      </c>
      <c r="C1613" s="312" t="s">
        <v>15</v>
      </c>
      <c r="D1613" s="314">
        <v>11900</v>
      </c>
      <c r="E1613" s="313" t="s">
        <v>949</v>
      </c>
      <c r="F1613" s="315" t="str">
        <f>IF(IF(A1613="","",COUNTIF(CONSOLIDADO!$A:$A,$A1613))=0,"REVISAR","OK")</f>
        <v>OK</v>
      </c>
    </row>
    <row r="1614" spans="1:6" x14ac:dyDescent="0.2">
      <c r="A1614" s="312" t="s">
        <v>1194</v>
      </c>
      <c r="B1614" s="313" t="s">
        <v>1195</v>
      </c>
      <c r="C1614" s="312" t="s">
        <v>1007</v>
      </c>
      <c r="D1614" s="314">
        <v>2000</v>
      </c>
      <c r="E1614" s="313" t="s">
        <v>2274</v>
      </c>
      <c r="F1614" s="315" t="str">
        <f>IF(IF(A1614="","",COUNTIF(CONSOLIDADO!$A:$A,$A1614))=0,"REVISAR","OK")</f>
        <v>OK</v>
      </c>
    </row>
    <row r="1615" spans="1:6" x14ac:dyDescent="0.2">
      <c r="A1615" s="312" t="s">
        <v>1698</v>
      </c>
      <c r="B1615" s="313" t="s">
        <v>1699</v>
      </c>
      <c r="C1615" s="312" t="s">
        <v>111</v>
      </c>
      <c r="D1615" s="314">
        <v>636</v>
      </c>
      <c r="E1615" s="313" t="s">
        <v>2275</v>
      </c>
      <c r="F1615" s="315" t="str">
        <f>IF(IF(A1615="","",COUNTIF(CONSOLIDADO!$A:$A,$A1615))=0,"REVISAR","OK")</f>
        <v>OK</v>
      </c>
    </row>
    <row r="1616" spans="1:6" x14ac:dyDescent="0.2">
      <c r="A1616" s="312" t="s">
        <v>1196</v>
      </c>
      <c r="B1616" s="313" t="s">
        <v>1197</v>
      </c>
      <c r="C1616" s="312" t="s">
        <v>111</v>
      </c>
      <c r="D1616" s="314">
        <v>171</v>
      </c>
      <c r="E1616" s="313" t="s">
        <v>951</v>
      </c>
      <c r="F1616" s="315" t="str">
        <f>IF(IF(A1616="","",COUNTIF(CONSOLIDADO!$A:$A,$A1616))=0,"REVISAR","OK")</f>
        <v>OK</v>
      </c>
    </row>
    <row r="1617" spans="1:6" x14ac:dyDescent="0.2">
      <c r="A1617" s="312" t="s">
        <v>1846</v>
      </c>
      <c r="B1617" s="313" t="s">
        <v>1847</v>
      </c>
      <c r="C1617" s="312" t="s">
        <v>956</v>
      </c>
      <c r="D1617" s="314">
        <v>7020</v>
      </c>
      <c r="E1617" s="313" t="s">
        <v>936</v>
      </c>
      <c r="F1617" s="315" t="str">
        <f>IF(IF(A1617="","",COUNTIF(CONSOLIDADO!$A:$A,$A1617))=0,"REVISAR","OK")</f>
        <v>OK</v>
      </c>
    </row>
    <row r="1618" spans="1:6" x14ac:dyDescent="0.2">
      <c r="A1618" s="312" t="s">
        <v>1198</v>
      </c>
      <c r="B1618" s="313" t="s">
        <v>1199</v>
      </c>
      <c r="C1618" s="312" t="s">
        <v>111</v>
      </c>
      <c r="D1618" s="314">
        <v>23205</v>
      </c>
      <c r="E1618" s="313" t="s">
        <v>2275</v>
      </c>
      <c r="F1618" s="315" t="str">
        <f>IF(IF(A1618="","",COUNTIF(CONSOLIDADO!$A:$A,$A1618))=0,"REVISAR","OK")</f>
        <v>OK</v>
      </c>
    </row>
    <row r="1619" spans="1:6" x14ac:dyDescent="0.2">
      <c r="A1619" s="312" t="s">
        <v>1200</v>
      </c>
      <c r="B1619" s="313" t="s">
        <v>1201</v>
      </c>
      <c r="C1619" s="312" t="s">
        <v>111</v>
      </c>
      <c r="D1619" s="314">
        <v>2090</v>
      </c>
      <c r="E1619" s="313" t="s">
        <v>2176</v>
      </c>
      <c r="F1619" s="315" t="str">
        <f>IF(IF(A1619="","",COUNTIF(CONSOLIDADO!$A:$A,$A1619))=0,"REVISAR","OK")</f>
        <v>OK</v>
      </c>
    </row>
    <row r="1620" spans="1:6" x14ac:dyDescent="0.2">
      <c r="A1620" s="312" t="s">
        <v>1707</v>
      </c>
      <c r="B1620" s="313" t="s">
        <v>217</v>
      </c>
      <c r="C1620" s="312" t="s">
        <v>15</v>
      </c>
      <c r="D1620" s="314">
        <v>17850</v>
      </c>
      <c r="E1620" s="313" t="s">
        <v>982</v>
      </c>
      <c r="F1620" s="315" t="str">
        <f>IF(IF(A1620="","",COUNTIF(CONSOLIDADO!$A:$A,$A1620))=0,"REVISAR","OK")</f>
        <v>OK</v>
      </c>
    </row>
    <row r="1621" spans="1:6" x14ac:dyDescent="0.2">
      <c r="A1621" s="312" t="s">
        <v>678</v>
      </c>
      <c r="B1621" s="313" t="s">
        <v>511</v>
      </c>
      <c r="C1621" s="312" t="s">
        <v>111</v>
      </c>
      <c r="D1621" s="314">
        <v>949</v>
      </c>
      <c r="E1621" s="313" t="s">
        <v>935</v>
      </c>
      <c r="F1621" s="315" t="str">
        <f>IF(IF(A1621="","",COUNTIF(CONSOLIDADO!$A:$A,$A1621))=0,"REVISAR","OK")</f>
        <v>OK</v>
      </c>
    </row>
    <row r="1622" spans="1:6" x14ac:dyDescent="0.2">
      <c r="A1622" s="312" t="s">
        <v>678</v>
      </c>
      <c r="B1622" s="313" t="s">
        <v>511</v>
      </c>
      <c r="C1622" s="312" t="s">
        <v>111</v>
      </c>
      <c r="D1622" s="314">
        <v>1289</v>
      </c>
      <c r="E1622" s="313" t="s">
        <v>2005</v>
      </c>
      <c r="F1622" s="315" t="str">
        <f>IF(IF(A1622="","",COUNTIF(CONSOLIDADO!$A:$A,$A1622))=0,"REVISAR","OK")</f>
        <v>OK</v>
      </c>
    </row>
    <row r="1623" spans="1:6" x14ac:dyDescent="0.2">
      <c r="A1623" s="312" t="s">
        <v>678</v>
      </c>
      <c r="B1623" s="313" t="s">
        <v>511</v>
      </c>
      <c r="C1623" s="312" t="s">
        <v>111</v>
      </c>
      <c r="D1623" s="314">
        <v>1690</v>
      </c>
      <c r="E1623" s="313" t="s">
        <v>2238</v>
      </c>
      <c r="F1623" s="315" t="str">
        <f>IF(IF(A1623="","",COUNTIF(CONSOLIDADO!$A:$A,$A1623))=0,"REVISAR","OK")</f>
        <v>OK</v>
      </c>
    </row>
    <row r="1624" spans="1:6" x14ac:dyDescent="0.2">
      <c r="A1624" s="312" t="s">
        <v>631</v>
      </c>
      <c r="B1624" s="313" t="s">
        <v>1202</v>
      </c>
      <c r="C1624" s="312" t="s">
        <v>15</v>
      </c>
      <c r="D1624" s="314">
        <v>5960</v>
      </c>
      <c r="E1624" s="313" t="s">
        <v>938</v>
      </c>
      <c r="F1624" s="315" t="str">
        <f>IF(IF(A1624="","",COUNTIF(CONSOLIDADO!$A:$A,$A1624))=0,"REVISAR","OK")</f>
        <v>OK</v>
      </c>
    </row>
    <row r="1625" spans="1:6" x14ac:dyDescent="0.2">
      <c r="A1625" s="312" t="s">
        <v>631</v>
      </c>
      <c r="B1625" s="313" t="s">
        <v>1202</v>
      </c>
      <c r="C1625" s="312" t="s">
        <v>15</v>
      </c>
      <c r="D1625" s="314">
        <v>8925</v>
      </c>
      <c r="E1625" s="313" t="s">
        <v>2258</v>
      </c>
      <c r="F1625" s="315" t="str">
        <f>IF(IF(A1625="","",COUNTIF(CONSOLIDADO!$A:$A,$A1625))=0,"REVISAR","OK")</f>
        <v>OK</v>
      </c>
    </row>
    <row r="1626" spans="1:6" x14ac:dyDescent="0.2">
      <c r="A1626" s="312" t="s">
        <v>631</v>
      </c>
      <c r="B1626" s="313" t="s">
        <v>1202</v>
      </c>
      <c r="C1626" s="312" t="s">
        <v>15</v>
      </c>
      <c r="D1626" s="314">
        <v>16900</v>
      </c>
      <c r="E1626" s="313" t="s">
        <v>2258</v>
      </c>
      <c r="F1626" s="315" t="str">
        <f>IF(IF(A1626="","",COUNTIF(CONSOLIDADO!$A:$A,$A1626))=0,"REVISAR","OK")</f>
        <v>OK</v>
      </c>
    </row>
    <row r="1627" spans="1:6" x14ac:dyDescent="0.2">
      <c r="A1627" s="312" t="s">
        <v>1708</v>
      </c>
      <c r="B1627" s="313" t="s">
        <v>1709</v>
      </c>
      <c r="C1627" s="312" t="s">
        <v>111</v>
      </c>
      <c r="D1627" s="314">
        <v>670</v>
      </c>
      <c r="E1627" s="313" t="s">
        <v>933</v>
      </c>
      <c r="F1627" s="315" t="str">
        <f>IF(IF(A1627="","",COUNTIF(CONSOLIDADO!$A:$A,$A1627))=0,"REVISAR","OK")</f>
        <v>OK</v>
      </c>
    </row>
    <row r="1628" spans="1:6" x14ac:dyDescent="0.2">
      <c r="A1628" s="312" t="s">
        <v>1708</v>
      </c>
      <c r="B1628" s="313" t="s">
        <v>1709</v>
      </c>
      <c r="C1628" s="312" t="s">
        <v>111</v>
      </c>
      <c r="D1628" s="314">
        <v>810</v>
      </c>
      <c r="E1628" s="313" t="s">
        <v>931</v>
      </c>
      <c r="F1628" s="315" t="str">
        <f>IF(IF(A1628="","",COUNTIF(CONSOLIDADO!$A:$A,$A1628))=0,"REVISAR","OK")</f>
        <v>OK</v>
      </c>
    </row>
    <row r="1629" spans="1:6" x14ac:dyDescent="0.2">
      <c r="A1629" s="312" t="s">
        <v>1203</v>
      </c>
      <c r="B1629" s="313" t="s">
        <v>1204</v>
      </c>
      <c r="C1629" s="312" t="s">
        <v>947</v>
      </c>
      <c r="D1629" s="314">
        <v>528</v>
      </c>
      <c r="E1629" s="313" t="s">
        <v>949</v>
      </c>
      <c r="F1629" s="315" t="str">
        <f>IF(IF(A1629="","",COUNTIF(CONSOLIDADO!$A:$A,$A1629))=0,"REVISAR","OK")</f>
        <v>OK</v>
      </c>
    </row>
    <row r="1630" spans="1:6" x14ac:dyDescent="0.2">
      <c r="A1630" s="312" t="s">
        <v>717</v>
      </c>
      <c r="B1630" s="313" t="s">
        <v>530</v>
      </c>
      <c r="C1630" s="312" t="s">
        <v>973</v>
      </c>
      <c r="D1630" s="314">
        <v>1000</v>
      </c>
      <c r="E1630" s="313" t="s">
        <v>938</v>
      </c>
      <c r="F1630" s="315" t="str">
        <f>IF(IF(A1630="","",COUNTIF(CONSOLIDADO!$A:$A,$A1630))=0,"REVISAR","OK")</f>
        <v>OK</v>
      </c>
    </row>
    <row r="1631" spans="1:6" x14ac:dyDescent="0.2">
      <c r="A1631" s="312" t="s">
        <v>1884</v>
      </c>
      <c r="B1631" s="313" t="s">
        <v>1885</v>
      </c>
      <c r="C1631" s="312" t="s">
        <v>15</v>
      </c>
      <c r="D1631" s="314">
        <v>8330</v>
      </c>
      <c r="E1631" s="313" t="s">
        <v>2146</v>
      </c>
      <c r="F1631" s="315" t="str">
        <f>IF(IF(A1631="","",COUNTIF(CONSOLIDADO!$A:$A,$A1631))=0,"REVISAR","OK")</f>
        <v>OK</v>
      </c>
    </row>
    <row r="1632" spans="1:6" x14ac:dyDescent="0.2">
      <c r="A1632" s="312" t="s">
        <v>1208</v>
      </c>
      <c r="B1632" s="313" t="s">
        <v>504</v>
      </c>
      <c r="C1632" s="312" t="s">
        <v>15</v>
      </c>
      <c r="D1632" s="314">
        <v>5200</v>
      </c>
      <c r="E1632" s="313" t="s">
        <v>936</v>
      </c>
      <c r="F1632" s="315" t="str">
        <f>IF(IF(A1632="","",COUNTIF(CONSOLIDADO!$A:$A,$A1632))=0,"REVISAR","OK")</f>
        <v>OK</v>
      </c>
    </row>
    <row r="1633" spans="1:6" x14ac:dyDescent="0.2">
      <c r="A1633" s="312" t="s">
        <v>1208</v>
      </c>
      <c r="B1633" s="313" t="s">
        <v>504</v>
      </c>
      <c r="C1633" s="312" t="s">
        <v>15</v>
      </c>
      <c r="D1633" s="314">
        <v>5300</v>
      </c>
      <c r="E1633" s="313" t="s">
        <v>934</v>
      </c>
      <c r="F1633" s="315" t="str">
        <f>IF(IF(A1633="","",COUNTIF(CONSOLIDADO!$A:$A,$A1633))=0,"REVISAR","OK")</f>
        <v>OK</v>
      </c>
    </row>
    <row r="1634" spans="1:6" x14ac:dyDescent="0.2">
      <c r="A1634" s="312" t="s">
        <v>1208</v>
      </c>
      <c r="B1634" s="313" t="s">
        <v>504</v>
      </c>
      <c r="C1634" s="312" t="s">
        <v>15</v>
      </c>
      <c r="D1634" s="314">
        <v>5999</v>
      </c>
      <c r="E1634" s="313" t="s">
        <v>937</v>
      </c>
      <c r="F1634" s="315" t="str">
        <f>IF(IF(A1634="","",COUNTIF(CONSOLIDADO!$A:$A,$A1634))=0,"REVISAR","OK")</f>
        <v>OK</v>
      </c>
    </row>
    <row r="1635" spans="1:6" x14ac:dyDescent="0.2">
      <c r="A1635" s="312" t="s">
        <v>1208</v>
      </c>
      <c r="B1635" s="313" t="s">
        <v>504</v>
      </c>
      <c r="C1635" s="312" t="s">
        <v>15</v>
      </c>
      <c r="D1635" s="314">
        <v>6700</v>
      </c>
      <c r="E1635" s="313" t="s">
        <v>944</v>
      </c>
      <c r="F1635" s="315" t="str">
        <f>IF(IF(A1635="","",COUNTIF(CONSOLIDADO!$A:$A,$A1635))=0,"REVISAR","OK")</f>
        <v>OK</v>
      </c>
    </row>
    <row r="1636" spans="1:6" x14ac:dyDescent="0.2">
      <c r="A1636" s="312" t="s">
        <v>1208</v>
      </c>
      <c r="B1636" s="313" t="s">
        <v>504</v>
      </c>
      <c r="C1636" s="312" t="s">
        <v>15</v>
      </c>
      <c r="D1636" s="314">
        <v>8092</v>
      </c>
      <c r="E1636" s="313" t="s">
        <v>935</v>
      </c>
      <c r="F1636" s="315" t="str">
        <f>IF(IF(A1636="","",COUNTIF(CONSOLIDADO!$A:$A,$A1636))=0,"REVISAR","OK")</f>
        <v>OK</v>
      </c>
    </row>
    <row r="1637" spans="1:6" x14ac:dyDescent="0.2">
      <c r="A1637" s="312" t="s">
        <v>819</v>
      </c>
      <c r="B1637" s="313" t="s">
        <v>1719</v>
      </c>
      <c r="C1637" s="312" t="s">
        <v>15</v>
      </c>
      <c r="D1637" s="314">
        <v>5450</v>
      </c>
      <c r="E1637" s="313" t="s">
        <v>930</v>
      </c>
      <c r="F1637" s="315" t="str">
        <f>IF(IF(A1637="","",COUNTIF(CONSOLIDADO!$A:$A,$A1637))=0,"REVISAR","OK")</f>
        <v>OK</v>
      </c>
    </row>
    <row r="1638" spans="1:6" x14ac:dyDescent="0.2">
      <c r="A1638" s="312" t="s">
        <v>819</v>
      </c>
      <c r="B1638" s="313" t="s">
        <v>1719</v>
      </c>
      <c r="C1638" s="312" t="s">
        <v>15</v>
      </c>
      <c r="D1638" s="314">
        <v>7942</v>
      </c>
      <c r="E1638" s="313" t="s">
        <v>951</v>
      </c>
      <c r="F1638" s="315" t="str">
        <f>IF(IF(A1638="","",COUNTIF(CONSOLIDADO!$A:$A,$A1638))=0,"REVISAR","OK")</f>
        <v>OK</v>
      </c>
    </row>
    <row r="1639" spans="1:6" x14ac:dyDescent="0.2">
      <c r="A1639" s="312" t="s">
        <v>819</v>
      </c>
      <c r="B1639" s="313" t="s">
        <v>1719</v>
      </c>
      <c r="C1639" s="312" t="s">
        <v>15</v>
      </c>
      <c r="D1639" s="314">
        <v>11305</v>
      </c>
      <c r="E1639" s="313" t="s">
        <v>938</v>
      </c>
      <c r="F1639" s="315" t="str">
        <f>IF(IF(A1639="","",COUNTIF(CONSOLIDADO!$A:$A,$A1639))=0,"REVISAR","OK")</f>
        <v>OK</v>
      </c>
    </row>
    <row r="1640" spans="1:6" x14ac:dyDescent="0.2">
      <c r="A1640" s="312" t="s">
        <v>1720</v>
      </c>
      <c r="B1640" s="313" t="s">
        <v>1721</v>
      </c>
      <c r="C1640" s="312" t="s">
        <v>111</v>
      </c>
      <c r="D1640" s="314">
        <v>424</v>
      </c>
      <c r="E1640" s="313" t="s">
        <v>950</v>
      </c>
      <c r="F1640" s="315" t="str">
        <f>IF(IF(A1640="","",COUNTIF(CONSOLIDADO!$A:$A,$A1640))=0,"REVISAR","OK")</f>
        <v>OK</v>
      </c>
    </row>
    <row r="1641" spans="1:6" x14ac:dyDescent="0.2">
      <c r="A1641" s="312" t="s">
        <v>1724</v>
      </c>
      <c r="B1641" s="313" t="s">
        <v>1445</v>
      </c>
      <c r="C1641" s="312" t="s">
        <v>906</v>
      </c>
      <c r="D1641" s="314">
        <v>1840</v>
      </c>
      <c r="E1641" s="313" t="s">
        <v>930</v>
      </c>
      <c r="F1641" s="315" t="str">
        <f>IF(IF(A1641="","",COUNTIF(CONSOLIDADO!$A:$A,$A1641))=0,"REVISAR","OK")</f>
        <v>OK</v>
      </c>
    </row>
    <row r="1642" spans="1:6" x14ac:dyDescent="0.2">
      <c r="A1642" s="312" t="s">
        <v>1724</v>
      </c>
      <c r="B1642" s="313" t="s">
        <v>1445</v>
      </c>
      <c r="C1642" s="312" t="s">
        <v>906</v>
      </c>
      <c r="D1642" s="314">
        <v>1940</v>
      </c>
      <c r="E1642" s="313" t="s">
        <v>2073</v>
      </c>
      <c r="F1642" s="315" t="str">
        <f>IF(IF(A1642="","",COUNTIF(CONSOLIDADO!$A:$A,$A1642))=0,"REVISAR","OK")</f>
        <v>OK</v>
      </c>
    </row>
    <row r="1643" spans="1:6" x14ac:dyDescent="0.2">
      <c r="A1643" s="312" t="s">
        <v>1209</v>
      </c>
      <c r="B1643" s="313" t="s">
        <v>1210</v>
      </c>
      <c r="C1643" s="312" t="s">
        <v>15</v>
      </c>
      <c r="D1643" s="314">
        <v>1844</v>
      </c>
      <c r="E1643" s="313" t="s">
        <v>950</v>
      </c>
      <c r="F1643" s="315" t="str">
        <f>IF(IF(A1643="","",COUNTIF(CONSOLIDADO!$A:$A,$A1643))=0,"REVISAR","OK")</f>
        <v>OK</v>
      </c>
    </row>
    <row r="1644" spans="1:6" x14ac:dyDescent="0.2">
      <c r="A1644" s="312" t="s">
        <v>751</v>
      </c>
      <c r="B1644" s="313" t="s">
        <v>546</v>
      </c>
      <c r="C1644" s="312" t="s">
        <v>906</v>
      </c>
      <c r="D1644" s="314">
        <v>202</v>
      </c>
      <c r="E1644" s="313" t="s">
        <v>939</v>
      </c>
      <c r="F1644" s="315" t="str">
        <f>IF(IF(A1644="","",COUNTIF(CONSOLIDADO!$A:$A,$A1644))=0,"REVISAR","OK")</f>
        <v>OK</v>
      </c>
    </row>
    <row r="1645" spans="1:6" x14ac:dyDescent="0.2">
      <c r="A1645" s="312" t="s">
        <v>1727</v>
      </c>
      <c r="B1645" s="313" t="s">
        <v>1728</v>
      </c>
      <c r="C1645" s="312" t="s">
        <v>111</v>
      </c>
      <c r="D1645" s="314">
        <v>1735</v>
      </c>
      <c r="E1645" s="313" t="s">
        <v>933</v>
      </c>
      <c r="F1645" s="315" t="str">
        <f>IF(IF(A1645="","",COUNTIF(CONSOLIDADO!$A:$A,$A1645))=0,"REVISAR","OK")</f>
        <v>OK</v>
      </c>
    </row>
    <row r="1646" spans="1:6" x14ac:dyDescent="0.2">
      <c r="A1646" s="312" t="s">
        <v>675</v>
      </c>
      <c r="B1646" s="313" t="s">
        <v>96</v>
      </c>
      <c r="C1646" s="312" t="s">
        <v>15</v>
      </c>
      <c r="D1646" s="314">
        <v>4165</v>
      </c>
      <c r="E1646" s="313" t="s">
        <v>1115</v>
      </c>
      <c r="F1646" s="315" t="str">
        <f>IF(IF(A1646="","",COUNTIF(CONSOLIDADO!$A:$A,$A1646))=0,"REVISAR","OK")</f>
        <v>OK</v>
      </c>
    </row>
    <row r="1647" spans="1:6" x14ac:dyDescent="0.2">
      <c r="A1647" s="312" t="s">
        <v>778</v>
      </c>
      <c r="B1647" s="313" t="s">
        <v>487</v>
      </c>
      <c r="C1647" s="312" t="s">
        <v>111</v>
      </c>
      <c r="D1647" s="314">
        <v>259</v>
      </c>
      <c r="E1647" s="313" t="s">
        <v>2070</v>
      </c>
      <c r="F1647" s="315" t="str">
        <f>IF(IF(A1647="","",COUNTIF(CONSOLIDADO!$A:$A,$A1647))=0,"REVISAR","OK")</f>
        <v>OK</v>
      </c>
    </row>
    <row r="1648" spans="1:6" x14ac:dyDescent="0.2">
      <c r="A1648" s="312" t="s">
        <v>778</v>
      </c>
      <c r="B1648" s="313" t="s">
        <v>487</v>
      </c>
      <c r="C1648" s="312" t="s">
        <v>111</v>
      </c>
      <c r="D1648" s="314">
        <v>279</v>
      </c>
      <c r="E1648" s="313" t="s">
        <v>2275</v>
      </c>
      <c r="F1648" s="315" t="str">
        <f>IF(IF(A1648="","",COUNTIF(CONSOLIDADO!$A:$A,$A1648))=0,"REVISAR","OK")</f>
        <v>OK</v>
      </c>
    </row>
    <row r="1649" spans="1:6" x14ac:dyDescent="0.2">
      <c r="A1649" s="312" t="s">
        <v>778</v>
      </c>
      <c r="B1649" s="313" t="s">
        <v>487</v>
      </c>
      <c r="C1649" s="312" t="s">
        <v>111</v>
      </c>
      <c r="D1649" s="314">
        <v>1400</v>
      </c>
      <c r="E1649" s="313" t="s">
        <v>929</v>
      </c>
      <c r="F1649" s="315" t="str">
        <f>IF(IF(A1649="","",COUNTIF(CONSOLIDADO!$A:$A,$A1649))=0,"REVISAR","OK")</f>
        <v>OK</v>
      </c>
    </row>
    <row r="1650" spans="1:6" x14ac:dyDescent="0.2">
      <c r="A1650" s="312" t="s">
        <v>778</v>
      </c>
      <c r="B1650" s="313" t="s">
        <v>487</v>
      </c>
      <c r="C1650" s="312" t="s">
        <v>111</v>
      </c>
      <c r="D1650" s="314">
        <v>1500</v>
      </c>
      <c r="E1650" s="313" t="s">
        <v>2297</v>
      </c>
      <c r="F1650" s="315" t="str">
        <f>IF(IF(A1650="","",COUNTIF(CONSOLIDADO!$A:$A,$A1650))=0,"REVISAR","OK")</f>
        <v>OK</v>
      </c>
    </row>
    <row r="1651" spans="1:6" x14ac:dyDescent="0.2">
      <c r="A1651" s="312" t="s">
        <v>778</v>
      </c>
      <c r="B1651" s="313" t="s">
        <v>487</v>
      </c>
      <c r="C1651" s="312" t="s">
        <v>111</v>
      </c>
      <c r="D1651" s="314">
        <v>1606</v>
      </c>
      <c r="E1651" s="313" t="s">
        <v>931</v>
      </c>
      <c r="F1651" s="315" t="str">
        <f>IF(IF(A1651="","",COUNTIF(CONSOLIDADO!$A:$A,$A1651))=0,"REVISAR","OK")</f>
        <v>OK</v>
      </c>
    </row>
    <row r="1652" spans="1:6" x14ac:dyDescent="0.2">
      <c r="A1652" s="312" t="s">
        <v>778</v>
      </c>
      <c r="B1652" s="313" t="s">
        <v>487</v>
      </c>
      <c r="C1652" s="312" t="s">
        <v>111</v>
      </c>
      <c r="D1652" s="314">
        <v>1761</v>
      </c>
      <c r="E1652" s="313" t="s">
        <v>1115</v>
      </c>
      <c r="F1652" s="315" t="str">
        <f>IF(IF(A1652="","",COUNTIF(CONSOLIDADO!$A:$A,$A1652))=0,"REVISAR","OK")</f>
        <v>OK</v>
      </c>
    </row>
    <row r="1653" spans="1:6" x14ac:dyDescent="0.2">
      <c r="A1653" s="312" t="s">
        <v>778</v>
      </c>
      <c r="B1653" s="313" t="s">
        <v>487</v>
      </c>
      <c r="C1653" s="312" t="s">
        <v>111</v>
      </c>
      <c r="D1653" s="314">
        <v>1850</v>
      </c>
      <c r="E1653" s="313" t="s">
        <v>948</v>
      </c>
      <c r="F1653" s="315" t="str">
        <f>IF(IF(A1653="","",COUNTIF(CONSOLIDADO!$A:$A,$A1653))=0,"REVISAR","OK")</f>
        <v>OK</v>
      </c>
    </row>
    <row r="1654" spans="1:6" x14ac:dyDescent="0.2">
      <c r="A1654" s="312" t="s">
        <v>778</v>
      </c>
      <c r="B1654" s="313" t="s">
        <v>487</v>
      </c>
      <c r="C1654" s="312" t="s">
        <v>111</v>
      </c>
      <c r="D1654" s="314">
        <v>1850</v>
      </c>
      <c r="E1654" s="313" t="s">
        <v>930</v>
      </c>
      <c r="F1654" s="315" t="str">
        <f>IF(IF(A1654="","",COUNTIF(CONSOLIDADO!$A:$A,$A1654))=0,"REVISAR","OK")</f>
        <v>OK</v>
      </c>
    </row>
    <row r="1655" spans="1:6" x14ac:dyDescent="0.2">
      <c r="A1655" s="312" t="s">
        <v>778</v>
      </c>
      <c r="B1655" s="313" t="s">
        <v>487</v>
      </c>
      <c r="C1655" s="312" t="s">
        <v>111</v>
      </c>
      <c r="D1655" s="314">
        <v>1900</v>
      </c>
      <c r="E1655" s="313" t="s">
        <v>2258</v>
      </c>
      <c r="F1655" s="315" t="str">
        <f>IF(IF(A1655="","",COUNTIF(CONSOLIDADO!$A:$A,$A1655))=0,"REVISAR","OK")</f>
        <v>OK</v>
      </c>
    </row>
    <row r="1656" spans="1:6" x14ac:dyDescent="0.2">
      <c r="A1656" s="312" t="s">
        <v>1729</v>
      </c>
      <c r="B1656" s="313" t="s">
        <v>739</v>
      </c>
      <c r="C1656" s="312" t="s">
        <v>111</v>
      </c>
      <c r="D1656" s="314">
        <v>370</v>
      </c>
      <c r="E1656" s="313" t="s">
        <v>948</v>
      </c>
      <c r="F1656" s="315" t="str">
        <f>IF(IF(A1656="","",COUNTIF(CONSOLIDADO!$A:$A,$A1656))=0,"REVISAR","OK")</f>
        <v>OK</v>
      </c>
    </row>
    <row r="1657" spans="1:6" x14ac:dyDescent="0.2">
      <c r="A1657" s="312" t="s">
        <v>1730</v>
      </c>
      <c r="B1657" s="313" t="s">
        <v>1731</v>
      </c>
      <c r="C1657" s="312" t="s">
        <v>906</v>
      </c>
      <c r="D1657" s="314">
        <v>2390</v>
      </c>
      <c r="E1657" s="313" t="s">
        <v>2297</v>
      </c>
      <c r="F1657" s="315" t="str">
        <f>IF(IF(A1657="","",COUNTIF(CONSOLIDADO!$A:$A,$A1657))=0,"REVISAR","OK")</f>
        <v>OK</v>
      </c>
    </row>
    <row r="1658" spans="1:6" x14ac:dyDescent="0.2">
      <c r="A1658" s="312" t="s">
        <v>820</v>
      </c>
      <c r="B1658" s="313" t="s">
        <v>577</v>
      </c>
      <c r="C1658" s="312" t="s">
        <v>111</v>
      </c>
      <c r="D1658" s="314">
        <v>500</v>
      </c>
      <c r="E1658" s="313" t="s">
        <v>2073</v>
      </c>
      <c r="F1658" s="315" t="str">
        <f>IF(IF(A1658="","",COUNTIF(CONSOLIDADO!$A:$A,$A1658))=0,"REVISAR","OK")</f>
        <v>OK</v>
      </c>
    </row>
    <row r="1659" spans="1:6" x14ac:dyDescent="0.2">
      <c r="A1659" s="312" t="s">
        <v>820</v>
      </c>
      <c r="B1659" s="313" t="s">
        <v>577</v>
      </c>
      <c r="C1659" s="312" t="s">
        <v>111</v>
      </c>
      <c r="D1659" s="314">
        <v>500</v>
      </c>
      <c r="E1659" s="313" t="s">
        <v>2211</v>
      </c>
      <c r="F1659" s="315" t="str">
        <f>IF(IF(A1659="","",COUNTIF(CONSOLIDADO!$A:$A,$A1659))=0,"REVISAR","OK")</f>
        <v>OK</v>
      </c>
    </row>
    <row r="1660" spans="1:6" x14ac:dyDescent="0.2">
      <c r="A1660" s="312" t="s">
        <v>820</v>
      </c>
      <c r="B1660" s="313" t="s">
        <v>577</v>
      </c>
      <c r="C1660" s="312" t="s">
        <v>111</v>
      </c>
      <c r="D1660" s="314">
        <v>700</v>
      </c>
      <c r="E1660" s="313" t="s">
        <v>934</v>
      </c>
      <c r="F1660" s="315" t="str">
        <f>IF(IF(A1660="","",COUNTIF(CONSOLIDADO!$A:$A,$A1660))=0,"REVISAR","OK")</f>
        <v>OK</v>
      </c>
    </row>
    <row r="1661" spans="1:6" x14ac:dyDescent="0.2">
      <c r="A1661" s="312" t="s">
        <v>820</v>
      </c>
      <c r="B1661" s="313" t="s">
        <v>577</v>
      </c>
      <c r="C1661" s="312" t="s">
        <v>111</v>
      </c>
      <c r="D1661" s="314">
        <v>1000</v>
      </c>
      <c r="E1661" s="313" t="s">
        <v>976</v>
      </c>
      <c r="F1661" s="315" t="str">
        <f>IF(IF(A1661="","",COUNTIF(CONSOLIDADO!$A:$A,$A1661))=0,"REVISAR","OK")</f>
        <v>OK</v>
      </c>
    </row>
    <row r="1662" spans="1:6" x14ac:dyDescent="0.2">
      <c r="A1662" s="312" t="s">
        <v>820</v>
      </c>
      <c r="B1662" s="313" t="s">
        <v>577</v>
      </c>
      <c r="C1662" s="312" t="s">
        <v>111</v>
      </c>
      <c r="D1662" s="314">
        <v>1000</v>
      </c>
      <c r="E1662" s="313" t="s">
        <v>940</v>
      </c>
      <c r="F1662" s="315" t="str">
        <f>IF(IF(A1662="","",COUNTIF(CONSOLIDADO!$A:$A,$A1662))=0,"REVISAR","OK")</f>
        <v>OK</v>
      </c>
    </row>
    <row r="1663" spans="1:6" x14ac:dyDescent="0.2">
      <c r="A1663" s="312" t="s">
        <v>820</v>
      </c>
      <c r="B1663" s="313" t="s">
        <v>577</v>
      </c>
      <c r="C1663" s="312" t="s">
        <v>111</v>
      </c>
      <c r="D1663" s="314">
        <v>1000</v>
      </c>
      <c r="E1663" s="313" t="s">
        <v>974</v>
      </c>
      <c r="F1663" s="315" t="str">
        <f>IF(IF(A1663="","",COUNTIF(CONSOLIDADO!$A:$A,$A1663))=0,"REVISAR","OK")</f>
        <v>OK</v>
      </c>
    </row>
    <row r="1664" spans="1:6" x14ac:dyDescent="0.2">
      <c r="A1664" s="312" t="s">
        <v>820</v>
      </c>
      <c r="B1664" s="313" t="s">
        <v>577</v>
      </c>
      <c r="C1664" s="312" t="s">
        <v>111</v>
      </c>
      <c r="D1664" s="314">
        <v>1200</v>
      </c>
      <c r="E1664" s="313" t="s">
        <v>974</v>
      </c>
      <c r="F1664" s="315" t="str">
        <f>IF(IF(A1664="","",COUNTIF(CONSOLIDADO!$A:$A,$A1664))=0,"REVISAR","OK")</f>
        <v>OK</v>
      </c>
    </row>
    <row r="1665" spans="1:6" x14ac:dyDescent="0.2">
      <c r="A1665" s="312" t="s">
        <v>820</v>
      </c>
      <c r="B1665" s="313" t="s">
        <v>577</v>
      </c>
      <c r="C1665" s="312" t="s">
        <v>111</v>
      </c>
      <c r="D1665" s="314">
        <v>1200</v>
      </c>
      <c r="E1665" s="313" t="s">
        <v>976</v>
      </c>
      <c r="F1665" s="315" t="str">
        <f>IF(IF(A1665="","",COUNTIF(CONSOLIDADO!$A:$A,$A1665))=0,"REVISAR","OK")</f>
        <v>OK</v>
      </c>
    </row>
    <row r="1666" spans="1:6" x14ac:dyDescent="0.2">
      <c r="A1666" s="312" t="s">
        <v>820</v>
      </c>
      <c r="B1666" s="313" t="s">
        <v>577</v>
      </c>
      <c r="C1666" s="312" t="s">
        <v>111</v>
      </c>
      <c r="D1666" s="314">
        <v>1200</v>
      </c>
      <c r="E1666" s="313" t="s">
        <v>940</v>
      </c>
      <c r="F1666" s="315" t="str">
        <f>IF(IF(A1666="","",COUNTIF(CONSOLIDADO!$A:$A,$A1666))=0,"REVISAR","OK")</f>
        <v>OK</v>
      </c>
    </row>
    <row r="1667" spans="1:6" x14ac:dyDescent="0.2">
      <c r="A1667" s="312" t="s">
        <v>820</v>
      </c>
      <c r="B1667" s="313" t="s">
        <v>577</v>
      </c>
      <c r="C1667" s="312" t="s">
        <v>111</v>
      </c>
      <c r="D1667" s="314">
        <v>1400</v>
      </c>
      <c r="E1667" s="313" t="s">
        <v>2210</v>
      </c>
      <c r="F1667" s="315" t="str">
        <f>IF(IF(A1667="","",COUNTIF(CONSOLIDADO!$A:$A,$A1667))=0,"REVISAR","OK")</f>
        <v>OK</v>
      </c>
    </row>
    <row r="1668" spans="1:6" x14ac:dyDescent="0.2">
      <c r="A1668" s="312" t="s">
        <v>820</v>
      </c>
      <c r="B1668" s="313" t="s">
        <v>577</v>
      </c>
      <c r="C1668" s="312" t="s">
        <v>111</v>
      </c>
      <c r="D1668" s="314">
        <v>1785</v>
      </c>
      <c r="E1668" s="313" t="s">
        <v>2176</v>
      </c>
      <c r="F1668" s="315" t="str">
        <f>IF(IF(A1668="","",COUNTIF(CONSOLIDADO!$A:$A,$A1668))=0,"REVISAR","OK")</f>
        <v>OK</v>
      </c>
    </row>
    <row r="1669" spans="1:6" x14ac:dyDescent="0.2">
      <c r="A1669" s="312" t="s">
        <v>1850</v>
      </c>
      <c r="B1669" s="313" t="s">
        <v>1851</v>
      </c>
      <c r="C1669" s="312" t="s">
        <v>15</v>
      </c>
      <c r="D1669" s="314">
        <v>2713</v>
      </c>
      <c r="E1669" s="313" t="s">
        <v>946</v>
      </c>
      <c r="F1669" s="315" t="str">
        <f>IF(IF(A1669="","",COUNTIF(CONSOLIDADO!$A:$A,$A1669))=0,"REVISAR","OK")</f>
        <v>OK</v>
      </c>
    </row>
    <row r="1670" spans="1:6" x14ac:dyDescent="0.2">
      <c r="A1670" s="312" t="s">
        <v>800</v>
      </c>
      <c r="B1670" s="313" t="s">
        <v>1091</v>
      </c>
      <c r="C1670" s="312" t="s">
        <v>906</v>
      </c>
      <c r="D1670" s="314">
        <v>2499</v>
      </c>
      <c r="E1670" s="313" t="s">
        <v>939</v>
      </c>
      <c r="F1670" s="315" t="str">
        <f>IF(IF(A1670="","",COUNTIF(CONSOLIDADO!$A:$A,$A1670))=0,"REVISAR","OK")</f>
        <v>OK</v>
      </c>
    </row>
    <row r="1671" spans="1:6" x14ac:dyDescent="0.2">
      <c r="A1671" s="312" t="s">
        <v>800</v>
      </c>
      <c r="B1671" s="313" t="s">
        <v>1091</v>
      </c>
      <c r="C1671" s="312" t="s">
        <v>906</v>
      </c>
      <c r="D1671" s="314">
        <v>2499</v>
      </c>
      <c r="E1671" s="313" t="s">
        <v>2146</v>
      </c>
      <c r="F1671" s="315" t="str">
        <f>IF(IF(A1671="","",COUNTIF(CONSOLIDADO!$A:$A,$A1671))=0,"REVISAR","OK")</f>
        <v>OK</v>
      </c>
    </row>
    <row r="1672" spans="1:6" x14ac:dyDescent="0.2">
      <c r="A1672" s="312" t="s">
        <v>800</v>
      </c>
      <c r="B1672" s="313" t="s">
        <v>1091</v>
      </c>
      <c r="C1672" s="312" t="s">
        <v>906</v>
      </c>
      <c r="D1672" s="314">
        <v>3012</v>
      </c>
      <c r="E1672" s="313" t="s">
        <v>933</v>
      </c>
      <c r="F1672" s="315" t="str">
        <f>IF(IF(A1672="","",COUNTIF(CONSOLIDADO!$A:$A,$A1672))=0,"REVISAR","OK")</f>
        <v>OK</v>
      </c>
    </row>
    <row r="1673" spans="1:6" x14ac:dyDescent="0.2">
      <c r="A1673" s="312" t="s">
        <v>800</v>
      </c>
      <c r="B1673" s="313" t="s">
        <v>1091</v>
      </c>
      <c r="C1673" s="312" t="s">
        <v>906</v>
      </c>
      <c r="D1673" s="314">
        <v>5199</v>
      </c>
      <c r="E1673" s="313" t="s">
        <v>934</v>
      </c>
      <c r="F1673" s="315" t="str">
        <f>IF(IF(A1673="","",COUNTIF(CONSOLIDADO!$A:$A,$A1673))=0,"REVISAR","OK")</f>
        <v>OK</v>
      </c>
    </row>
    <row r="1674" spans="1:6" x14ac:dyDescent="0.2">
      <c r="A1674" s="312" t="s">
        <v>800</v>
      </c>
      <c r="B1674" s="313" t="s">
        <v>1091</v>
      </c>
      <c r="C1674" s="312" t="s">
        <v>906</v>
      </c>
      <c r="D1674" s="314">
        <v>7323</v>
      </c>
      <c r="E1674" s="313" t="s">
        <v>2232</v>
      </c>
      <c r="F1674" s="315" t="str">
        <f>IF(IF(A1674="","",COUNTIF(CONSOLIDADO!$A:$A,$A1674))=0,"REVISAR","OK")</f>
        <v>OK</v>
      </c>
    </row>
    <row r="1675" spans="1:6" x14ac:dyDescent="0.2">
      <c r="A1675" s="312" t="s">
        <v>764</v>
      </c>
      <c r="B1675" s="313" t="s">
        <v>990</v>
      </c>
      <c r="C1675" s="312" t="s">
        <v>906</v>
      </c>
      <c r="D1675" s="314">
        <v>3500</v>
      </c>
      <c r="E1675" s="313" t="s">
        <v>2073</v>
      </c>
      <c r="F1675" s="315" t="str">
        <f>IF(IF(A1675="","",COUNTIF(CONSOLIDADO!$A:$A,$A1675))=0,"REVISAR","OK")</f>
        <v>OK</v>
      </c>
    </row>
    <row r="1676" spans="1:6" x14ac:dyDescent="0.2">
      <c r="A1676" s="312" t="s">
        <v>764</v>
      </c>
      <c r="B1676" s="313" t="s">
        <v>990</v>
      </c>
      <c r="C1676" s="312" t="s">
        <v>906</v>
      </c>
      <c r="D1676" s="314">
        <v>8000</v>
      </c>
      <c r="E1676" s="313" t="s">
        <v>2211</v>
      </c>
      <c r="F1676" s="315" t="str">
        <f>IF(IF(A1676="","",COUNTIF(CONSOLIDADO!$A:$A,$A1676))=0,"REVISAR","OK")</f>
        <v>OK</v>
      </c>
    </row>
    <row r="1677" spans="1:6" x14ac:dyDescent="0.2">
      <c r="A1677" s="312" t="s">
        <v>1213</v>
      </c>
      <c r="B1677" s="313" t="s">
        <v>652</v>
      </c>
      <c r="C1677" s="312" t="s">
        <v>1007</v>
      </c>
      <c r="D1677" s="314">
        <v>595</v>
      </c>
      <c r="E1677" s="313" t="s">
        <v>982</v>
      </c>
      <c r="F1677" s="315" t="str">
        <f>IF(IF(A1677="","",COUNTIF(CONSOLIDADO!$A:$A,$A1677))=0,"REVISAR","OK")</f>
        <v>OK</v>
      </c>
    </row>
    <row r="1678" spans="1:6" x14ac:dyDescent="0.2">
      <c r="A1678" s="312" t="s">
        <v>897</v>
      </c>
      <c r="B1678" s="313" t="s">
        <v>218</v>
      </c>
      <c r="C1678" s="312" t="s">
        <v>906</v>
      </c>
      <c r="D1678" s="314">
        <v>297</v>
      </c>
      <c r="E1678" s="313" t="s">
        <v>982</v>
      </c>
      <c r="F1678" s="315" t="str">
        <f>IF(IF(A1678="","",COUNTIF(CONSOLIDADO!$A:$A,$A1678))=0,"REVISAR","OK")</f>
        <v>OK</v>
      </c>
    </row>
    <row r="1679" spans="1:6" x14ac:dyDescent="0.2">
      <c r="A1679" s="312" t="s">
        <v>897</v>
      </c>
      <c r="B1679" s="313" t="s">
        <v>218</v>
      </c>
      <c r="C1679" s="312" t="s">
        <v>906</v>
      </c>
      <c r="D1679" s="314">
        <v>2277</v>
      </c>
      <c r="E1679" s="313" t="s">
        <v>951</v>
      </c>
      <c r="F1679" s="315" t="str">
        <f>IF(IF(A1679="","",COUNTIF(CONSOLIDADO!$A:$A,$A1679))=0,"REVISAR","OK")</f>
        <v>OK</v>
      </c>
    </row>
    <row r="1680" spans="1:6" x14ac:dyDescent="0.2">
      <c r="A1680" s="312" t="s">
        <v>899</v>
      </c>
      <c r="B1680" s="313" t="s">
        <v>368</v>
      </c>
      <c r="C1680" s="312" t="s">
        <v>15</v>
      </c>
      <c r="D1680" s="314">
        <v>1084</v>
      </c>
      <c r="E1680" s="313" t="s">
        <v>935</v>
      </c>
      <c r="F1680" s="315" t="str">
        <f>IF(IF(A1680="","",COUNTIF(CONSOLIDADO!$A:$A,$A1680))=0,"REVISAR","OK")</f>
        <v>OK</v>
      </c>
    </row>
    <row r="1681" spans="1:6" x14ac:dyDescent="0.2">
      <c r="A1681" s="312" t="s">
        <v>899</v>
      </c>
      <c r="B1681" s="313" t="s">
        <v>368</v>
      </c>
      <c r="C1681" s="312" t="s">
        <v>15</v>
      </c>
      <c r="D1681" s="314">
        <v>2800</v>
      </c>
      <c r="E1681" s="313" t="s">
        <v>933</v>
      </c>
      <c r="F1681" s="315" t="str">
        <f>IF(IF(A1681="","",COUNTIF(CONSOLIDADO!$A:$A,$A1681))=0,"REVISAR","OK")</f>
        <v>OK</v>
      </c>
    </row>
    <row r="1682" spans="1:6" x14ac:dyDescent="0.2">
      <c r="A1682" s="312" t="s">
        <v>1216</v>
      </c>
      <c r="B1682" s="313" t="s">
        <v>1217</v>
      </c>
      <c r="C1682" s="312" t="s">
        <v>111</v>
      </c>
      <c r="D1682" s="314">
        <v>1059</v>
      </c>
      <c r="E1682" s="313" t="s">
        <v>936</v>
      </c>
      <c r="F1682" s="315" t="str">
        <f>IF(IF(A1682="","",COUNTIF(CONSOLIDADO!$A:$A,$A1682))=0,"REVISAR","OK")</f>
        <v>OK</v>
      </c>
    </row>
    <row r="1683" spans="1:6" x14ac:dyDescent="0.2">
      <c r="A1683" s="312" t="s">
        <v>1738</v>
      </c>
      <c r="B1683" s="313" t="s">
        <v>1739</v>
      </c>
      <c r="C1683" s="312" t="s">
        <v>111</v>
      </c>
      <c r="D1683" s="314">
        <v>4480</v>
      </c>
      <c r="E1683" s="313" t="s">
        <v>943</v>
      </c>
      <c r="F1683" s="315" t="str">
        <f>IF(IF(A1683="","",COUNTIF(CONSOLIDADO!$A:$A,$A1683))=0,"REVISAR","OK")</f>
        <v>OK</v>
      </c>
    </row>
    <row r="1684" spans="1:6" x14ac:dyDescent="0.2">
      <c r="A1684" s="312" t="s">
        <v>1218</v>
      </c>
      <c r="B1684" s="313" t="s">
        <v>1219</v>
      </c>
      <c r="C1684" s="312" t="s">
        <v>15</v>
      </c>
      <c r="D1684" s="314">
        <v>5355</v>
      </c>
      <c r="E1684" s="313" t="s">
        <v>930</v>
      </c>
      <c r="F1684" s="315" t="str">
        <f>IF(IF(A1684="","",COUNTIF(CONSOLIDADO!$A:$A,$A1684))=0,"REVISAR","OK")</f>
        <v>OK</v>
      </c>
    </row>
    <row r="1685" spans="1:6" x14ac:dyDescent="0.2">
      <c r="A1685" s="312" t="s">
        <v>1218</v>
      </c>
      <c r="B1685" s="313" t="s">
        <v>1219</v>
      </c>
      <c r="C1685" s="312" t="s">
        <v>15</v>
      </c>
      <c r="D1685" s="314">
        <v>5355</v>
      </c>
      <c r="E1685" s="313" t="s">
        <v>2276</v>
      </c>
      <c r="F1685" s="315" t="str">
        <f>IF(IF(A1685="","",COUNTIF(CONSOLIDADO!$A:$A,$A1685))=0,"REVISAR","OK")</f>
        <v>OK</v>
      </c>
    </row>
    <row r="1686" spans="1:6" x14ac:dyDescent="0.2">
      <c r="A1686" s="312" t="s">
        <v>660</v>
      </c>
      <c r="B1686" s="313" t="s">
        <v>644</v>
      </c>
      <c r="C1686" s="312" t="s">
        <v>111</v>
      </c>
      <c r="D1686" s="314">
        <v>249</v>
      </c>
      <c r="E1686" s="313" t="s">
        <v>944</v>
      </c>
      <c r="F1686" s="315" t="str">
        <f>IF(IF(A1686="","",COUNTIF(CONSOLIDADO!$A:$A,$A1686))=0,"REVISAR","OK")</f>
        <v>OK</v>
      </c>
    </row>
    <row r="1687" spans="1:6" x14ac:dyDescent="0.2">
      <c r="A1687" s="312" t="s">
        <v>660</v>
      </c>
      <c r="B1687" s="313" t="s">
        <v>644</v>
      </c>
      <c r="C1687" s="312" t="s">
        <v>111</v>
      </c>
      <c r="D1687" s="314">
        <v>300</v>
      </c>
      <c r="E1687" s="313" t="s">
        <v>974</v>
      </c>
      <c r="F1687" s="315" t="str">
        <f>IF(IF(A1687="","",COUNTIF(CONSOLIDADO!$A:$A,$A1687))=0,"REVISAR","OK")</f>
        <v>OK</v>
      </c>
    </row>
    <row r="1688" spans="1:6" x14ac:dyDescent="0.2">
      <c r="A1688" s="312" t="s">
        <v>660</v>
      </c>
      <c r="B1688" s="313" t="s">
        <v>644</v>
      </c>
      <c r="C1688" s="312" t="s">
        <v>111</v>
      </c>
      <c r="D1688" s="314">
        <v>300</v>
      </c>
      <c r="E1688" s="313" t="s">
        <v>976</v>
      </c>
      <c r="F1688" s="315" t="str">
        <f>IF(IF(A1688="","",COUNTIF(CONSOLIDADO!$A:$A,$A1688))=0,"REVISAR","OK")</f>
        <v>OK</v>
      </c>
    </row>
    <row r="1689" spans="1:6" x14ac:dyDescent="0.2">
      <c r="A1689" s="312" t="s">
        <v>660</v>
      </c>
      <c r="B1689" s="313" t="s">
        <v>644</v>
      </c>
      <c r="C1689" s="312" t="s">
        <v>111</v>
      </c>
      <c r="D1689" s="314">
        <v>390</v>
      </c>
      <c r="E1689" s="313" t="s">
        <v>974</v>
      </c>
      <c r="F1689" s="315" t="str">
        <f>IF(IF(A1689="","",COUNTIF(CONSOLIDADO!$A:$A,$A1689))=0,"REVISAR","OK")</f>
        <v>OK</v>
      </c>
    </row>
    <row r="1690" spans="1:6" x14ac:dyDescent="0.2">
      <c r="A1690" s="312" t="s">
        <v>660</v>
      </c>
      <c r="B1690" s="313" t="s">
        <v>644</v>
      </c>
      <c r="C1690" s="312" t="s">
        <v>111</v>
      </c>
      <c r="D1690" s="314">
        <v>400</v>
      </c>
      <c r="E1690" s="313" t="s">
        <v>974</v>
      </c>
      <c r="F1690" s="315" t="str">
        <f>IF(IF(A1690="","",COUNTIF(CONSOLIDADO!$A:$A,$A1690))=0,"REVISAR","OK")</f>
        <v>OK</v>
      </c>
    </row>
    <row r="1691" spans="1:6" x14ac:dyDescent="0.2">
      <c r="A1691" s="312" t="s">
        <v>660</v>
      </c>
      <c r="B1691" s="313" t="s">
        <v>644</v>
      </c>
      <c r="C1691" s="312" t="s">
        <v>111</v>
      </c>
      <c r="D1691" s="314">
        <v>400</v>
      </c>
      <c r="E1691" s="313" t="s">
        <v>976</v>
      </c>
      <c r="F1691" s="315" t="str">
        <f>IF(IF(A1691="","",COUNTIF(CONSOLIDADO!$A:$A,$A1691))=0,"REVISAR","OK")</f>
        <v>OK</v>
      </c>
    </row>
    <row r="1692" spans="1:6" x14ac:dyDescent="0.2">
      <c r="A1692" s="312" t="s">
        <v>660</v>
      </c>
      <c r="B1692" s="313" t="s">
        <v>644</v>
      </c>
      <c r="C1692" s="312" t="s">
        <v>111</v>
      </c>
      <c r="D1692" s="314">
        <v>400</v>
      </c>
      <c r="E1692" s="313" t="s">
        <v>940</v>
      </c>
      <c r="F1692" s="315" t="str">
        <f>IF(IF(A1692="","",COUNTIF(CONSOLIDADO!$A:$A,$A1692))=0,"REVISAR","OK")</f>
        <v>OK</v>
      </c>
    </row>
    <row r="1693" spans="1:6" x14ac:dyDescent="0.2">
      <c r="A1693" s="312" t="s">
        <v>660</v>
      </c>
      <c r="B1693" s="313" t="s">
        <v>644</v>
      </c>
      <c r="C1693" s="312" t="s">
        <v>111</v>
      </c>
      <c r="D1693" s="314">
        <v>549</v>
      </c>
      <c r="E1693" s="313" t="s">
        <v>945</v>
      </c>
      <c r="F1693" s="315" t="str">
        <f>IF(IF(A1693="","",COUNTIF(CONSOLIDADO!$A:$A,$A1693))=0,"REVISAR","OK")</f>
        <v>OK</v>
      </c>
    </row>
    <row r="1694" spans="1:6" x14ac:dyDescent="0.2">
      <c r="A1694" s="312" t="s">
        <v>882</v>
      </c>
      <c r="B1694" s="313" t="s">
        <v>612</v>
      </c>
      <c r="C1694" s="312" t="s">
        <v>111</v>
      </c>
      <c r="D1694" s="314">
        <v>3749</v>
      </c>
      <c r="E1694" s="313" t="s">
        <v>950</v>
      </c>
      <c r="F1694" s="315" t="str">
        <f>IF(IF(A1694="","",COUNTIF(CONSOLIDADO!$A:$A,$A1694))=0,"REVISAR","OK")</f>
        <v>OK</v>
      </c>
    </row>
    <row r="1695" spans="1:6" x14ac:dyDescent="0.2">
      <c r="A1695" s="312" t="s">
        <v>774</v>
      </c>
      <c r="B1695" s="313" t="s">
        <v>555</v>
      </c>
      <c r="C1695" s="312" t="s">
        <v>111</v>
      </c>
      <c r="D1695" s="314">
        <v>3990</v>
      </c>
      <c r="E1695" s="313" t="s">
        <v>943</v>
      </c>
      <c r="F1695" s="315" t="str">
        <f>IF(IF(A1695="","",COUNTIF(CONSOLIDADO!$A:$A,$A1695))=0,"REVISAR","OK")</f>
        <v>OK</v>
      </c>
    </row>
    <row r="1696" spans="1:6" x14ac:dyDescent="0.2">
      <c r="A1696" s="312" t="s">
        <v>774</v>
      </c>
      <c r="B1696" s="313" t="s">
        <v>555</v>
      </c>
      <c r="C1696" s="312" t="s">
        <v>111</v>
      </c>
      <c r="D1696" s="314">
        <v>5550</v>
      </c>
      <c r="E1696" s="313" t="s">
        <v>943</v>
      </c>
      <c r="F1696" s="315" t="str">
        <f>IF(IF(A1696="","",COUNTIF(CONSOLIDADO!$A:$A,$A1696))=0,"REVISAR","OK")</f>
        <v>OK</v>
      </c>
    </row>
    <row r="1697" spans="1:6" x14ac:dyDescent="0.2">
      <c r="A1697" s="312" t="s">
        <v>774</v>
      </c>
      <c r="B1697" s="313" t="s">
        <v>555</v>
      </c>
      <c r="C1697" s="312" t="s">
        <v>111</v>
      </c>
      <c r="D1697" s="314">
        <v>5940</v>
      </c>
      <c r="E1697" s="313" t="s">
        <v>943</v>
      </c>
      <c r="F1697" s="315" t="str">
        <f>IF(IF(A1697="","",COUNTIF(CONSOLIDADO!$A:$A,$A1697))=0,"REVISAR","OK")</f>
        <v>OK</v>
      </c>
    </row>
    <row r="1698" spans="1:6" x14ac:dyDescent="0.2">
      <c r="A1698" s="312" t="s">
        <v>1746</v>
      </c>
      <c r="B1698" s="313" t="s">
        <v>1747</v>
      </c>
      <c r="C1698" s="312" t="s">
        <v>15</v>
      </c>
      <c r="D1698" s="314">
        <v>2500</v>
      </c>
      <c r="E1698" s="313" t="s">
        <v>933</v>
      </c>
      <c r="F1698" s="315" t="str">
        <f>IF(IF(A1698="","",COUNTIF(CONSOLIDADO!$A:$A,$A1698))=0,"REVISAR","OK")</f>
        <v>OK</v>
      </c>
    </row>
    <row r="1699" spans="1:6" x14ac:dyDescent="0.2">
      <c r="A1699" s="312" t="s">
        <v>1220</v>
      </c>
      <c r="B1699" s="313" t="s">
        <v>1221</v>
      </c>
      <c r="C1699" s="312" t="s">
        <v>111</v>
      </c>
      <c r="D1699" s="314">
        <v>7750</v>
      </c>
      <c r="E1699" s="313" t="s">
        <v>2073</v>
      </c>
      <c r="F1699" s="315" t="str">
        <f>IF(IF(A1699="","",COUNTIF(CONSOLIDADO!$A:$A,$A1699))=0,"REVISAR","OK")</f>
        <v>OK</v>
      </c>
    </row>
    <row r="1700" spans="1:6" x14ac:dyDescent="0.2">
      <c r="A1700" s="312" t="s">
        <v>1751</v>
      </c>
      <c r="B1700" s="313" t="s">
        <v>1735</v>
      </c>
      <c r="C1700" s="312" t="s">
        <v>111</v>
      </c>
      <c r="D1700" s="314">
        <v>300</v>
      </c>
      <c r="E1700" s="313" t="s">
        <v>948</v>
      </c>
      <c r="F1700" s="315" t="str">
        <f>IF(IF(A1700="","",COUNTIF(CONSOLIDADO!$A:$A,$A1700))=0,"REVISAR","OK")</f>
        <v>OK</v>
      </c>
    </row>
    <row r="1701" spans="1:6" x14ac:dyDescent="0.2">
      <c r="A1701" s="312" t="s">
        <v>691</v>
      </c>
      <c r="B1701" s="313" t="s">
        <v>962</v>
      </c>
      <c r="C1701" s="312" t="s">
        <v>1007</v>
      </c>
      <c r="D1701" s="314">
        <v>440</v>
      </c>
      <c r="E1701" s="313" t="s">
        <v>948</v>
      </c>
      <c r="F1701" s="315" t="str">
        <f>IF(IF(A1701="","",COUNTIF(CONSOLIDADO!$A:$A,$A1701))=0,"REVISAR","OK")</f>
        <v>OK</v>
      </c>
    </row>
    <row r="1702" spans="1:6" x14ac:dyDescent="0.2">
      <c r="A1702" s="312" t="s">
        <v>691</v>
      </c>
      <c r="B1702" s="313" t="s">
        <v>962</v>
      </c>
      <c r="C1702" s="312" t="s">
        <v>1007</v>
      </c>
      <c r="D1702" s="314">
        <v>750</v>
      </c>
      <c r="E1702" s="313" t="s">
        <v>974</v>
      </c>
      <c r="F1702" s="315" t="str">
        <f>IF(IF(A1702="","",COUNTIF(CONSOLIDADO!$A:$A,$A1702))=0,"REVISAR","OK")</f>
        <v>OK</v>
      </c>
    </row>
    <row r="1703" spans="1:6" x14ac:dyDescent="0.2">
      <c r="A1703" s="312" t="s">
        <v>691</v>
      </c>
      <c r="B1703" s="313" t="s">
        <v>962</v>
      </c>
      <c r="C1703" s="312" t="s">
        <v>1007</v>
      </c>
      <c r="D1703" s="314">
        <v>750</v>
      </c>
      <c r="E1703" s="313" t="s">
        <v>976</v>
      </c>
      <c r="F1703" s="315" t="str">
        <f>IF(IF(A1703="","",COUNTIF(CONSOLIDADO!$A:$A,$A1703))=0,"REVISAR","OK")</f>
        <v>OK</v>
      </c>
    </row>
    <row r="1704" spans="1:6" x14ac:dyDescent="0.2">
      <c r="A1704" s="312" t="s">
        <v>369</v>
      </c>
      <c r="B1704" s="313" t="s">
        <v>470</v>
      </c>
      <c r="C1704" s="312" t="s">
        <v>947</v>
      </c>
      <c r="D1704" s="314">
        <v>620</v>
      </c>
      <c r="E1704" s="313" t="s">
        <v>2297</v>
      </c>
      <c r="F1704" s="315" t="str">
        <f>IF(IF(A1704="","",COUNTIF(CONSOLIDADO!$A:$A,$A1704))=0,"REVISAR","OK")</f>
        <v>OK</v>
      </c>
    </row>
    <row r="1705" spans="1:6" x14ac:dyDescent="0.2">
      <c r="A1705" s="312" t="s">
        <v>369</v>
      </c>
      <c r="B1705" s="313" t="s">
        <v>470</v>
      </c>
      <c r="C1705" s="312" t="s">
        <v>947</v>
      </c>
      <c r="D1705" s="314">
        <v>850</v>
      </c>
      <c r="E1705" s="313" t="s">
        <v>2210</v>
      </c>
      <c r="F1705" s="315" t="str">
        <f>IF(IF(A1705="","",COUNTIF(CONSOLIDADO!$A:$A,$A1705))=0,"REVISAR","OK")</f>
        <v>OK</v>
      </c>
    </row>
    <row r="1706" spans="1:6" x14ac:dyDescent="0.2">
      <c r="A1706" s="312" t="s">
        <v>369</v>
      </c>
      <c r="B1706" s="313" t="s">
        <v>470</v>
      </c>
      <c r="C1706" s="312" t="s">
        <v>947</v>
      </c>
      <c r="D1706" s="314">
        <v>1200</v>
      </c>
      <c r="E1706" s="313" t="s">
        <v>939</v>
      </c>
      <c r="F1706" s="315" t="str">
        <f>IF(IF(A1706="","",COUNTIF(CONSOLIDADO!$A:$A,$A1706))=0,"REVISAR","OK")</f>
        <v>OK</v>
      </c>
    </row>
    <row r="1707" spans="1:6" x14ac:dyDescent="0.2">
      <c r="A1707" s="312" t="s">
        <v>369</v>
      </c>
      <c r="B1707" s="313" t="s">
        <v>470</v>
      </c>
      <c r="C1707" s="312" t="s">
        <v>947</v>
      </c>
      <c r="D1707" s="314">
        <v>2540</v>
      </c>
      <c r="E1707" s="313" t="s">
        <v>2176</v>
      </c>
      <c r="F1707" s="315" t="str">
        <f>IF(IF(A1707="","",COUNTIF(CONSOLIDADO!$A:$A,$A1707))=0,"REVISAR","OK")</f>
        <v>OK</v>
      </c>
    </row>
    <row r="1708" spans="1:6" x14ac:dyDescent="0.2">
      <c r="A1708" s="312" t="s">
        <v>369</v>
      </c>
      <c r="B1708" s="313" t="s">
        <v>470</v>
      </c>
      <c r="C1708" s="312" t="s">
        <v>947</v>
      </c>
      <c r="D1708" s="314">
        <v>2540</v>
      </c>
      <c r="E1708" s="313" t="s">
        <v>2297</v>
      </c>
      <c r="F1708" s="315" t="str">
        <f>IF(IF(A1708="","",COUNTIF(CONSOLIDADO!$A:$A,$A1708))=0,"REVISAR","OK")</f>
        <v>OK</v>
      </c>
    </row>
    <row r="1709" spans="1:6" x14ac:dyDescent="0.2">
      <c r="A1709" s="312" t="s">
        <v>1752</v>
      </c>
      <c r="B1709" s="313" t="s">
        <v>1753</v>
      </c>
      <c r="C1709" s="312" t="s">
        <v>906</v>
      </c>
      <c r="D1709" s="314">
        <v>1596</v>
      </c>
      <c r="E1709" s="313" t="s">
        <v>931</v>
      </c>
      <c r="F1709" s="315" t="str">
        <f>IF(IF(A1709="","",COUNTIF(CONSOLIDADO!$A:$A,$A1709))=0,"REVISAR","OK")</f>
        <v>OK</v>
      </c>
    </row>
    <row r="1710" spans="1:6" x14ac:dyDescent="0.2">
      <c r="A1710" s="312" t="s">
        <v>1754</v>
      </c>
      <c r="B1710" s="313" t="s">
        <v>1755</v>
      </c>
      <c r="C1710" s="312" t="s">
        <v>906</v>
      </c>
      <c r="D1710" s="314">
        <v>3890</v>
      </c>
      <c r="E1710" s="313" t="s">
        <v>2276</v>
      </c>
      <c r="F1710" s="315" t="str">
        <f>IF(IF(A1710="","",COUNTIF(CONSOLIDADO!$A:$A,$A1710))=0,"REVISAR","OK")</f>
        <v>OK</v>
      </c>
    </row>
    <row r="1711" spans="1:6" x14ac:dyDescent="0.2">
      <c r="A1711" s="312" t="s">
        <v>1763</v>
      </c>
      <c r="B1711" s="313" t="s">
        <v>1764</v>
      </c>
      <c r="C1711" s="312" t="s">
        <v>906</v>
      </c>
      <c r="D1711" s="314">
        <v>9096</v>
      </c>
      <c r="E1711" s="313" t="s">
        <v>2238</v>
      </c>
      <c r="F1711" s="315" t="str">
        <f>IF(IF(A1711="","",COUNTIF(CONSOLIDADO!$A:$A,$A1711))=0,"REVISAR","OK")</f>
        <v>OK</v>
      </c>
    </row>
    <row r="1712" spans="1:6" x14ac:dyDescent="0.2">
      <c r="A1712" s="312" t="s">
        <v>1765</v>
      </c>
      <c r="B1712" s="313" t="s">
        <v>520</v>
      </c>
      <c r="C1712" s="312" t="s">
        <v>111</v>
      </c>
      <c r="D1712" s="314">
        <v>1850</v>
      </c>
      <c r="E1712" s="313" t="s">
        <v>945</v>
      </c>
      <c r="F1712" s="315" t="str">
        <f>IF(IF(A1712="","",COUNTIF(CONSOLIDADO!$A:$A,$A1712))=0,"REVISAR","OK")</f>
        <v>OK</v>
      </c>
    </row>
    <row r="1713" spans="1:6" x14ac:dyDescent="0.2">
      <c r="A1713" s="312" t="s">
        <v>1930</v>
      </c>
      <c r="B1713" s="313" t="s">
        <v>1931</v>
      </c>
      <c r="C1713" s="312" t="s">
        <v>15</v>
      </c>
      <c r="D1713" s="314">
        <v>6169</v>
      </c>
      <c r="E1713" s="313" t="s">
        <v>944</v>
      </c>
      <c r="F1713" s="315" t="str">
        <f>IF(IF(A1713="","",COUNTIF(CONSOLIDADO!$A:$A,$A1713))=0,"REVISAR","OK")</f>
        <v>OK</v>
      </c>
    </row>
    <row r="1714" spans="1:6" x14ac:dyDescent="0.2">
      <c r="A1714" s="312" t="s">
        <v>671</v>
      </c>
      <c r="B1714" s="313" t="s">
        <v>488</v>
      </c>
      <c r="C1714" s="312" t="s">
        <v>111</v>
      </c>
      <c r="D1714" s="314">
        <v>3570</v>
      </c>
      <c r="E1714" s="313" t="s">
        <v>936</v>
      </c>
      <c r="F1714" s="315" t="str">
        <f>IF(IF(A1714="","",COUNTIF(CONSOLIDADO!$A:$A,$A1714))=0,"REVISAR","OK")</f>
        <v>OK</v>
      </c>
    </row>
    <row r="1715" spans="1:6" x14ac:dyDescent="0.2">
      <c r="A1715" s="312" t="s">
        <v>671</v>
      </c>
      <c r="B1715" s="313" t="s">
        <v>488</v>
      </c>
      <c r="C1715" s="312" t="s">
        <v>111</v>
      </c>
      <c r="D1715" s="314">
        <v>4489</v>
      </c>
      <c r="E1715" s="313" t="s">
        <v>2238</v>
      </c>
      <c r="F1715" s="315" t="str">
        <f>IF(IF(A1715="","",COUNTIF(CONSOLIDADO!$A:$A,$A1715))=0,"REVISAR","OK")</f>
        <v>OK</v>
      </c>
    </row>
    <row r="1716" spans="1:6" x14ac:dyDescent="0.2">
      <c r="A1716" s="312" t="s">
        <v>1224</v>
      </c>
      <c r="B1716" s="313" t="s">
        <v>1225</v>
      </c>
      <c r="C1716" s="312" t="s">
        <v>906</v>
      </c>
      <c r="D1716" s="314">
        <v>7990</v>
      </c>
      <c r="E1716" s="313" t="s">
        <v>948</v>
      </c>
      <c r="F1716" s="315" t="str">
        <f>IF(IF(A1716="","",COUNTIF(CONSOLIDADO!$A:$A,$A1716))=0,"REVISAR","OK")</f>
        <v>OK</v>
      </c>
    </row>
    <row r="1717" spans="1:6" x14ac:dyDescent="0.2">
      <c r="A1717" s="312" t="s">
        <v>1226</v>
      </c>
      <c r="B1717" s="313" t="s">
        <v>1227</v>
      </c>
      <c r="C1717" s="312" t="s">
        <v>111</v>
      </c>
      <c r="D1717" s="314">
        <v>1199</v>
      </c>
      <c r="E1717" s="313" t="s">
        <v>950</v>
      </c>
      <c r="F1717" s="315" t="str">
        <f>IF(IF(A1717="","",COUNTIF(CONSOLIDADO!$A:$A,$A1717))=0,"REVISAR","OK")</f>
        <v>OK</v>
      </c>
    </row>
    <row r="1718" spans="1:6" x14ac:dyDescent="0.2">
      <c r="A1718" s="312" t="s">
        <v>1226</v>
      </c>
      <c r="B1718" s="313" t="s">
        <v>1227</v>
      </c>
      <c r="C1718" s="312" t="s">
        <v>111</v>
      </c>
      <c r="D1718" s="314">
        <v>1227</v>
      </c>
      <c r="E1718" s="313" t="s">
        <v>951</v>
      </c>
      <c r="F1718" s="315" t="str">
        <f>IF(IF(A1718="","",COUNTIF(CONSOLIDADO!$A:$A,$A1718))=0,"REVISAR","OK")</f>
        <v>OK</v>
      </c>
    </row>
    <row r="1719" spans="1:6" x14ac:dyDescent="0.2">
      <c r="A1719" s="312" t="s">
        <v>1226</v>
      </c>
      <c r="B1719" s="313" t="s">
        <v>1227</v>
      </c>
      <c r="C1719" s="312" t="s">
        <v>111</v>
      </c>
      <c r="D1719" s="314">
        <v>1299</v>
      </c>
      <c r="E1719" s="313" t="s">
        <v>937</v>
      </c>
      <c r="F1719" s="315" t="str">
        <f>IF(IF(A1719="","",COUNTIF(CONSOLIDADO!$A:$A,$A1719))=0,"REVISAR","OK")</f>
        <v>OK</v>
      </c>
    </row>
    <row r="1720" spans="1:6" x14ac:dyDescent="0.2">
      <c r="A1720" s="312" t="s">
        <v>1226</v>
      </c>
      <c r="B1720" s="313" t="s">
        <v>1227</v>
      </c>
      <c r="C1720" s="312" t="s">
        <v>111</v>
      </c>
      <c r="D1720" s="314">
        <v>1307</v>
      </c>
      <c r="E1720" s="313" t="s">
        <v>935</v>
      </c>
      <c r="F1720" s="315" t="str">
        <f>IF(IF(A1720="","",COUNTIF(CONSOLIDADO!$A:$A,$A1720))=0,"REVISAR","OK")</f>
        <v>OK</v>
      </c>
    </row>
    <row r="1721" spans="1:6" x14ac:dyDescent="0.2">
      <c r="A1721" s="312" t="s">
        <v>1226</v>
      </c>
      <c r="B1721" s="313" t="s">
        <v>1227</v>
      </c>
      <c r="C1721" s="312" t="s">
        <v>111</v>
      </c>
      <c r="D1721" s="314">
        <v>1405</v>
      </c>
      <c r="E1721" s="313" t="s">
        <v>2233</v>
      </c>
      <c r="F1721" s="315" t="str">
        <f>IF(IF(A1721="","",COUNTIF(CONSOLIDADO!$A:$A,$A1721))=0,"REVISAR","OK")</f>
        <v>OK</v>
      </c>
    </row>
    <row r="1722" spans="1:6" x14ac:dyDescent="0.2">
      <c r="A1722" s="312" t="s">
        <v>1226</v>
      </c>
      <c r="B1722" s="313" t="s">
        <v>1227</v>
      </c>
      <c r="C1722" s="312" t="s">
        <v>111</v>
      </c>
      <c r="D1722" s="314">
        <v>1487</v>
      </c>
      <c r="E1722" s="313" t="s">
        <v>2275</v>
      </c>
      <c r="F1722" s="315" t="str">
        <f>IF(IF(A1722="","",COUNTIF(CONSOLIDADO!$A:$A,$A1722))=0,"REVISAR","OK")</f>
        <v>OK</v>
      </c>
    </row>
    <row r="1723" spans="1:6" x14ac:dyDescent="0.2">
      <c r="A1723" s="312" t="s">
        <v>1226</v>
      </c>
      <c r="B1723" s="313" t="s">
        <v>1227</v>
      </c>
      <c r="C1723" s="312" t="s">
        <v>111</v>
      </c>
      <c r="D1723" s="314">
        <v>1500</v>
      </c>
      <c r="E1723" s="313" t="s">
        <v>2005</v>
      </c>
      <c r="F1723" s="315" t="str">
        <f>IF(IF(A1723="","",COUNTIF(CONSOLIDADO!$A:$A,$A1723))=0,"REVISAR","OK")</f>
        <v>OK</v>
      </c>
    </row>
    <row r="1724" spans="1:6" x14ac:dyDescent="0.2">
      <c r="A1724" s="312" t="s">
        <v>1226</v>
      </c>
      <c r="B1724" s="313" t="s">
        <v>1227</v>
      </c>
      <c r="C1724" s="312" t="s">
        <v>111</v>
      </c>
      <c r="D1724" s="314">
        <v>1535</v>
      </c>
      <c r="E1724" s="313" t="s">
        <v>2210</v>
      </c>
      <c r="F1724" s="315" t="str">
        <f>IF(IF(A1724="","",COUNTIF(CONSOLIDADO!$A:$A,$A1724))=0,"REVISAR","OK")</f>
        <v>OK</v>
      </c>
    </row>
    <row r="1725" spans="1:6" x14ac:dyDescent="0.2">
      <c r="A1725" s="312" t="s">
        <v>1226</v>
      </c>
      <c r="B1725" s="313" t="s">
        <v>1227</v>
      </c>
      <c r="C1725" s="312" t="s">
        <v>111</v>
      </c>
      <c r="D1725" s="314">
        <v>1750</v>
      </c>
      <c r="E1725" s="313" t="s">
        <v>930</v>
      </c>
      <c r="F1725" s="315" t="str">
        <f>IF(IF(A1725="","",COUNTIF(CONSOLIDADO!$A:$A,$A1725))=0,"REVISAR","OK")</f>
        <v>OK</v>
      </c>
    </row>
    <row r="1726" spans="1:6" x14ac:dyDescent="0.2">
      <c r="A1726" s="312" t="s">
        <v>1226</v>
      </c>
      <c r="B1726" s="313" t="s">
        <v>1227</v>
      </c>
      <c r="C1726" s="312" t="s">
        <v>111</v>
      </c>
      <c r="D1726" s="314">
        <v>1790</v>
      </c>
      <c r="E1726" s="313" t="s">
        <v>930</v>
      </c>
      <c r="F1726" s="315" t="str">
        <f>IF(IF(A1726="","",COUNTIF(CONSOLIDADO!$A:$A,$A1726))=0,"REVISAR","OK")</f>
        <v>OK</v>
      </c>
    </row>
    <row r="1727" spans="1:6" x14ac:dyDescent="0.2">
      <c r="A1727" s="312" t="s">
        <v>1228</v>
      </c>
      <c r="B1727" s="313" t="s">
        <v>1229</v>
      </c>
      <c r="C1727" s="312" t="s">
        <v>111</v>
      </c>
      <c r="D1727" s="314">
        <v>2261</v>
      </c>
      <c r="E1727" s="313" t="s">
        <v>982</v>
      </c>
      <c r="F1727" s="315" t="str">
        <f>IF(IF(A1727="","",COUNTIF(CONSOLIDADO!$A:$A,$A1727))=0,"REVISAR","OK")</f>
        <v>OK</v>
      </c>
    </row>
    <row r="1728" spans="1:6" x14ac:dyDescent="0.2">
      <c r="A1728" s="312" t="s">
        <v>1228</v>
      </c>
      <c r="B1728" s="313" t="s">
        <v>1229</v>
      </c>
      <c r="C1728" s="312" t="s">
        <v>111</v>
      </c>
      <c r="D1728" s="314">
        <v>2261</v>
      </c>
      <c r="E1728" s="313" t="s">
        <v>2146</v>
      </c>
      <c r="F1728" s="315" t="str">
        <f>IF(IF(A1728="","",COUNTIF(CONSOLIDADO!$A:$A,$A1728))=0,"REVISAR","OK")</f>
        <v>OK</v>
      </c>
    </row>
    <row r="1729" spans="1:6" x14ac:dyDescent="0.2">
      <c r="A1729" s="312" t="s">
        <v>1228</v>
      </c>
      <c r="B1729" s="313" t="s">
        <v>1229</v>
      </c>
      <c r="C1729" s="312" t="s">
        <v>111</v>
      </c>
      <c r="D1729" s="314">
        <v>2380</v>
      </c>
      <c r="E1729" s="313" t="s">
        <v>982</v>
      </c>
      <c r="F1729" s="315" t="str">
        <f>IF(IF(A1729="","",COUNTIF(CONSOLIDADO!$A:$A,$A1729))=0,"REVISAR","OK")</f>
        <v>OK</v>
      </c>
    </row>
    <row r="1730" spans="1:6" x14ac:dyDescent="0.2">
      <c r="A1730" s="312" t="s">
        <v>1228</v>
      </c>
      <c r="B1730" s="313" t="s">
        <v>1229</v>
      </c>
      <c r="C1730" s="312" t="s">
        <v>111</v>
      </c>
      <c r="D1730" s="314">
        <v>2380</v>
      </c>
      <c r="E1730" s="313" t="s">
        <v>946</v>
      </c>
      <c r="F1730" s="315" t="str">
        <f>IF(IF(A1730="","",COUNTIF(CONSOLIDADO!$A:$A,$A1730))=0,"REVISAR","OK")</f>
        <v>OK</v>
      </c>
    </row>
    <row r="1731" spans="1:6" x14ac:dyDescent="0.2">
      <c r="A1731" s="312" t="s">
        <v>1228</v>
      </c>
      <c r="B1731" s="313" t="s">
        <v>1229</v>
      </c>
      <c r="C1731" s="312" t="s">
        <v>111</v>
      </c>
      <c r="D1731" s="314">
        <v>2499</v>
      </c>
      <c r="E1731" s="313" t="s">
        <v>2005</v>
      </c>
      <c r="F1731" s="315" t="str">
        <f>IF(IF(A1731="","",COUNTIF(CONSOLIDADO!$A:$A,$A1731))=0,"REVISAR","OK")</f>
        <v>OK</v>
      </c>
    </row>
    <row r="1732" spans="1:6" x14ac:dyDescent="0.2">
      <c r="A1732" s="312" t="s">
        <v>1228</v>
      </c>
      <c r="B1732" s="313" t="s">
        <v>1229</v>
      </c>
      <c r="C1732" s="312" t="s">
        <v>111</v>
      </c>
      <c r="D1732" s="314">
        <v>2571</v>
      </c>
      <c r="E1732" s="313" t="s">
        <v>937</v>
      </c>
      <c r="F1732" s="315" t="str">
        <f>IF(IF(A1732="","",COUNTIF(CONSOLIDADO!$A:$A,$A1732))=0,"REVISAR","OK")</f>
        <v>OK</v>
      </c>
    </row>
    <row r="1733" spans="1:6" x14ac:dyDescent="0.2">
      <c r="A1733" s="312" t="s">
        <v>1228</v>
      </c>
      <c r="B1733" s="313" t="s">
        <v>1229</v>
      </c>
      <c r="C1733" s="312" t="s">
        <v>111</v>
      </c>
      <c r="D1733" s="314">
        <v>2975</v>
      </c>
      <c r="E1733" s="313" t="s">
        <v>2258</v>
      </c>
      <c r="F1733" s="315" t="str">
        <f>IF(IF(A1733="","",COUNTIF(CONSOLIDADO!$A:$A,$A1733))=0,"REVISAR","OK")</f>
        <v>OK</v>
      </c>
    </row>
    <row r="1734" spans="1:6" x14ac:dyDescent="0.2">
      <c r="A1734" s="312" t="s">
        <v>1228</v>
      </c>
      <c r="B1734" s="313" t="s">
        <v>1229</v>
      </c>
      <c r="C1734" s="312" t="s">
        <v>111</v>
      </c>
      <c r="D1734" s="314">
        <v>2975</v>
      </c>
      <c r="E1734" s="313" t="s">
        <v>2238</v>
      </c>
      <c r="F1734" s="315" t="str">
        <f>IF(IF(A1734="","",COUNTIF(CONSOLIDADO!$A:$A,$A1734))=0,"REVISAR","OK")</f>
        <v>OK</v>
      </c>
    </row>
    <row r="1735" spans="1:6" x14ac:dyDescent="0.2">
      <c r="A1735" s="312" t="s">
        <v>1230</v>
      </c>
      <c r="B1735" s="313" t="s">
        <v>1231</v>
      </c>
      <c r="C1735" s="312" t="s">
        <v>111</v>
      </c>
      <c r="D1735" s="314">
        <v>333</v>
      </c>
      <c r="E1735" s="313" t="s">
        <v>938</v>
      </c>
      <c r="F1735" s="315" t="str">
        <f>IF(IF(A1735="","",COUNTIF(CONSOLIDADO!$A:$A,$A1735))=0,"REVISAR","OK")</f>
        <v>OK</v>
      </c>
    </row>
    <row r="1736" spans="1:6" x14ac:dyDescent="0.2">
      <c r="A1736" s="312" t="s">
        <v>1230</v>
      </c>
      <c r="B1736" s="313" t="s">
        <v>1231</v>
      </c>
      <c r="C1736" s="312" t="s">
        <v>111</v>
      </c>
      <c r="D1736" s="314">
        <v>350</v>
      </c>
      <c r="E1736" s="313" t="s">
        <v>2329</v>
      </c>
      <c r="F1736" s="315" t="str">
        <f>IF(IF(A1736="","",COUNTIF(CONSOLIDADO!$A:$A,$A1736))=0,"REVISAR","OK")</f>
        <v>OK</v>
      </c>
    </row>
    <row r="1737" spans="1:6" x14ac:dyDescent="0.2">
      <c r="A1737" s="312" t="s">
        <v>1230</v>
      </c>
      <c r="B1737" s="313" t="s">
        <v>1231</v>
      </c>
      <c r="C1737" s="312" t="s">
        <v>111</v>
      </c>
      <c r="D1737" s="314">
        <v>384</v>
      </c>
      <c r="E1737" s="313" t="s">
        <v>935</v>
      </c>
      <c r="F1737" s="315" t="str">
        <f>IF(IF(A1737="","",COUNTIF(CONSOLIDADO!$A:$A,$A1737))=0,"REVISAR","OK")</f>
        <v>OK</v>
      </c>
    </row>
    <row r="1738" spans="1:6" x14ac:dyDescent="0.2">
      <c r="A1738" s="312" t="s">
        <v>1230</v>
      </c>
      <c r="B1738" s="313" t="s">
        <v>1231</v>
      </c>
      <c r="C1738" s="312" t="s">
        <v>111</v>
      </c>
      <c r="D1738" s="314">
        <v>400</v>
      </c>
      <c r="E1738" s="313" t="s">
        <v>938</v>
      </c>
      <c r="F1738" s="315" t="str">
        <f>IF(IF(A1738="","",COUNTIF(CONSOLIDADO!$A:$A,$A1738))=0,"REVISAR","OK")</f>
        <v>OK</v>
      </c>
    </row>
    <row r="1739" spans="1:6" x14ac:dyDescent="0.2">
      <c r="A1739" s="312" t="s">
        <v>1230</v>
      </c>
      <c r="B1739" s="313" t="s">
        <v>1231</v>
      </c>
      <c r="C1739" s="312" t="s">
        <v>111</v>
      </c>
      <c r="D1739" s="314">
        <v>448</v>
      </c>
      <c r="E1739" s="313" t="s">
        <v>935</v>
      </c>
      <c r="F1739" s="315" t="str">
        <f>IF(IF(A1739="","",COUNTIF(CONSOLIDADO!$A:$A,$A1739))=0,"REVISAR","OK")</f>
        <v>OK</v>
      </c>
    </row>
    <row r="1740" spans="1:6" x14ac:dyDescent="0.2">
      <c r="A1740" s="312" t="s">
        <v>1230</v>
      </c>
      <c r="B1740" s="313" t="s">
        <v>1231</v>
      </c>
      <c r="C1740" s="312" t="s">
        <v>111</v>
      </c>
      <c r="D1740" s="314">
        <v>450</v>
      </c>
      <c r="E1740" s="313" t="s">
        <v>938</v>
      </c>
      <c r="F1740" s="315" t="str">
        <f>IF(IF(A1740="","",COUNTIF(CONSOLIDADO!$A:$A,$A1740))=0,"REVISAR","OK")</f>
        <v>OK</v>
      </c>
    </row>
    <row r="1741" spans="1:6" x14ac:dyDescent="0.2">
      <c r="A1741" s="312" t="s">
        <v>1230</v>
      </c>
      <c r="B1741" s="313" t="s">
        <v>1231</v>
      </c>
      <c r="C1741" s="312" t="s">
        <v>111</v>
      </c>
      <c r="D1741" s="314">
        <v>476</v>
      </c>
      <c r="E1741" s="313" t="s">
        <v>1115</v>
      </c>
      <c r="F1741" s="315" t="str">
        <f>IF(IF(A1741="","",COUNTIF(CONSOLIDADO!$A:$A,$A1741))=0,"REVISAR","OK")</f>
        <v>OK</v>
      </c>
    </row>
    <row r="1742" spans="1:6" x14ac:dyDescent="0.2">
      <c r="A1742" s="312" t="s">
        <v>1230</v>
      </c>
      <c r="B1742" s="313" t="s">
        <v>1231</v>
      </c>
      <c r="C1742" s="312" t="s">
        <v>111</v>
      </c>
      <c r="D1742" s="314">
        <v>476</v>
      </c>
      <c r="E1742" s="313" t="s">
        <v>939</v>
      </c>
      <c r="F1742" s="315" t="str">
        <f>IF(IF(A1742="","",COUNTIF(CONSOLIDADO!$A:$A,$A1742))=0,"REVISAR","OK")</f>
        <v>OK</v>
      </c>
    </row>
    <row r="1743" spans="1:6" x14ac:dyDescent="0.2">
      <c r="A1743" s="312" t="s">
        <v>1230</v>
      </c>
      <c r="B1743" s="313" t="s">
        <v>1231</v>
      </c>
      <c r="C1743" s="312" t="s">
        <v>111</v>
      </c>
      <c r="D1743" s="314">
        <v>500</v>
      </c>
      <c r="E1743" s="313" t="s">
        <v>938</v>
      </c>
      <c r="F1743" s="315" t="str">
        <f>IF(IF(A1743="","",COUNTIF(CONSOLIDADO!$A:$A,$A1743))=0,"REVISAR","OK")</f>
        <v>OK</v>
      </c>
    </row>
    <row r="1744" spans="1:6" x14ac:dyDescent="0.2">
      <c r="A1744" s="312" t="s">
        <v>1230</v>
      </c>
      <c r="B1744" s="313" t="s">
        <v>1231</v>
      </c>
      <c r="C1744" s="312" t="s">
        <v>111</v>
      </c>
      <c r="D1744" s="314">
        <v>523</v>
      </c>
      <c r="E1744" s="313" t="s">
        <v>951</v>
      </c>
      <c r="F1744" s="315" t="str">
        <f>IF(IF(A1744="","",COUNTIF(CONSOLIDADO!$A:$A,$A1744))=0,"REVISAR","OK")</f>
        <v>OK</v>
      </c>
    </row>
    <row r="1745" spans="1:6" x14ac:dyDescent="0.2">
      <c r="A1745" s="312" t="s">
        <v>1230</v>
      </c>
      <c r="B1745" s="313" t="s">
        <v>1231</v>
      </c>
      <c r="C1745" s="312" t="s">
        <v>111</v>
      </c>
      <c r="D1745" s="314">
        <v>535</v>
      </c>
      <c r="E1745" s="313" t="s">
        <v>1115</v>
      </c>
      <c r="F1745" s="315" t="str">
        <f>IF(IF(A1745="","",COUNTIF(CONSOLIDADO!$A:$A,$A1745))=0,"REVISAR","OK")</f>
        <v>OK</v>
      </c>
    </row>
    <row r="1746" spans="1:6" x14ac:dyDescent="0.2">
      <c r="A1746" s="312" t="s">
        <v>1230</v>
      </c>
      <c r="B1746" s="313" t="s">
        <v>1231</v>
      </c>
      <c r="C1746" s="312" t="s">
        <v>111</v>
      </c>
      <c r="D1746" s="314">
        <v>596</v>
      </c>
      <c r="E1746" s="313" t="s">
        <v>936</v>
      </c>
      <c r="F1746" s="315" t="str">
        <f>IF(IF(A1746="","",COUNTIF(CONSOLIDADO!$A:$A,$A1746))=0,"REVISAR","OK")</f>
        <v>OK</v>
      </c>
    </row>
    <row r="1747" spans="1:6" x14ac:dyDescent="0.2">
      <c r="A1747" s="312" t="s">
        <v>1230</v>
      </c>
      <c r="B1747" s="313" t="s">
        <v>1231</v>
      </c>
      <c r="C1747" s="312" t="s">
        <v>111</v>
      </c>
      <c r="D1747" s="314">
        <v>597</v>
      </c>
      <c r="E1747" s="313" t="s">
        <v>935</v>
      </c>
      <c r="F1747" s="315" t="str">
        <f>IF(IF(A1747="","",COUNTIF(CONSOLIDADO!$A:$A,$A1747))=0,"REVISAR","OK")</f>
        <v>OK</v>
      </c>
    </row>
    <row r="1748" spans="1:6" x14ac:dyDescent="0.2">
      <c r="A1748" s="312" t="s">
        <v>1230</v>
      </c>
      <c r="B1748" s="313" t="s">
        <v>1231</v>
      </c>
      <c r="C1748" s="312" t="s">
        <v>111</v>
      </c>
      <c r="D1748" s="314">
        <v>600</v>
      </c>
      <c r="E1748" s="313" t="s">
        <v>939</v>
      </c>
      <c r="F1748" s="315" t="str">
        <f>IF(IF(A1748="","",COUNTIF(CONSOLIDADO!$A:$A,$A1748))=0,"REVISAR","OK")</f>
        <v>OK</v>
      </c>
    </row>
    <row r="1749" spans="1:6" x14ac:dyDescent="0.2">
      <c r="A1749" s="312" t="s">
        <v>1230</v>
      </c>
      <c r="B1749" s="313" t="s">
        <v>1231</v>
      </c>
      <c r="C1749" s="312" t="s">
        <v>111</v>
      </c>
      <c r="D1749" s="314">
        <v>696</v>
      </c>
      <c r="E1749" s="313" t="s">
        <v>935</v>
      </c>
      <c r="F1749" s="315" t="str">
        <f>IF(IF(A1749="","",COUNTIF(CONSOLIDADO!$A:$A,$A1749))=0,"REVISAR","OK")</f>
        <v>OK</v>
      </c>
    </row>
    <row r="1750" spans="1:6" x14ac:dyDescent="0.2">
      <c r="A1750" s="312" t="s">
        <v>1230</v>
      </c>
      <c r="B1750" s="313" t="s">
        <v>1231</v>
      </c>
      <c r="C1750" s="312" t="s">
        <v>111</v>
      </c>
      <c r="D1750" s="314">
        <v>940</v>
      </c>
      <c r="E1750" s="313" t="s">
        <v>2070</v>
      </c>
      <c r="F1750" s="315" t="str">
        <f>IF(IF(A1750="","",COUNTIF(CONSOLIDADO!$A:$A,$A1750))=0,"REVISAR","OK")</f>
        <v>OK</v>
      </c>
    </row>
    <row r="1751" spans="1:6" x14ac:dyDescent="0.2">
      <c r="A1751" s="312" t="s">
        <v>1230</v>
      </c>
      <c r="B1751" s="313" t="s">
        <v>1231</v>
      </c>
      <c r="C1751" s="312" t="s">
        <v>111</v>
      </c>
      <c r="D1751" s="314">
        <v>990</v>
      </c>
      <c r="E1751" s="313" t="s">
        <v>945</v>
      </c>
      <c r="F1751" s="315" t="str">
        <f>IF(IF(A1751="","",COUNTIF(CONSOLIDADO!$A:$A,$A1751))=0,"REVISAR","OK")</f>
        <v>OK</v>
      </c>
    </row>
    <row r="1752" spans="1:6" x14ac:dyDescent="0.2">
      <c r="A1752" s="312" t="s">
        <v>1230</v>
      </c>
      <c r="B1752" s="313" t="s">
        <v>1231</v>
      </c>
      <c r="C1752" s="312" t="s">
        <v>111</v>
      </c>
      <c r="D1752" s="314">
        <v>990</v>
      </c>
      <c r="E1752" s="313" t="s">
        <v>945</v>
      </c>
      <c r="F1752" s="315" t="str">
        <f>IF(IF(A1752="","",COUNTIF(CONSOLIDADO!$A:$A,$A1752))=0,"REVISAR","OK")</f>
        <v>OK</v>
      </c>
    </row>
    <row r="1753" spans="1:6" x14ac:dyDescent="0.2">
      <c r="A1753" s="312" t="s">
        <v>1230</v>
      </c>
      <c r="B1753" s="313" t="s">
        <v>1231</v>
      </c>
      <c r="C1753" s="312" t="s">
        <v>111</v>
      </c>
      <c r="D1753" s="314">
        <v>1071</v>
      </c>
      <c r="E1753" s="313" t="s">
        <v>935</v>
      </c>
      <c r="F1753" s="315" t="str">
        <f>IF(IF(A1753="","",COUNTIF(CONSOLIDADO!$A:$A,$A1753))=0,"REVISAR","OK")</f>
        <v>OK</v>
      </c>
    </row>
    <row r="1754" spans="1:6" x14ac:dyDescent="0.2">
      <c r="A1754" s="312" t="s">
        <v>1230</v>
      </c>
      <c r="B1754" s="313" t="s">
        <v>1231</v>
      </c>
      <c r="C1754" s="312" t="s">
        <v>111</v>
      </c>
      <c r="D1754" s="314">
        <v>1783</v>
      </c>
      <c r="E1754" s="313" t="s">
        <v>933</v>
      </c>
      <c r="F1754" s="315" t="str">
        <f>IF(IF(A1754="","",COUNTIF(CONSOLIDADO!$A:$A,$A1754))=0,"REVISAR","OK")</f>
        <v>OK</v>
      </c>
    </row>
    <row r="1755" spans="1:6" x14ac:dyDescent="0.2">
      <c r="A1755" s="312" t="s">
        <v>1230</v>
      </c>
      <c r="B1755" s="313" t="s">
        <v>1231</v>
      </c>
      <c r="C1755" s="312" t="s">
        <v>111</v>
      </c>
      <c r="D1755" s="314">
        <v>1793</v>
      </c>
      <c r="E1755" s="313" t="s">
        <v>944</v>
      </c>
      <c r="F1755" s="315" t="str">
        <f>IF(IF(A1755="","",COUNTIF(CONSOLIDADO!$A:$A,$A1755))=0,"REVISAR","OK")</f>
        <v>OK</v>
      </c>
    </row>
    <row r="1756" spans="1:6" x14ac:dyDescent="0.2">
      <c r="A1756" s="312" t="s">
        <v>1230</v>
      </c>
      <c r="B1756" s="313" t="s">
        <v>1231</v>
      </c>
      <c r="C1756" s="312" t="s">
        <v>111</v>
      </c>
      <c r="D1756" s="314">
        <v>1793</v>
      </c>
      <c r="E1756" s="313" t="s">
        <v>935</v>
      </c>
      <c r="F1756" s="315" t="str">
        <f>IF(IF(A1756="","",COUNTIF(CONSOLIDADO!$A:$A,$A1756))=0,"REVISAR","OK")</f>
        <v>OK</v>
      </c>
    </row>
    <row r="1757" spans="1:6" x14ac:dyDescent="0.2">
      <c r="A1757" s="312" t="s">
        <v>1230</v>
      </c>
      <c r="B1757" s="313" t="s">
        <v>1231</v>
      </c>
      <c r="C1757" s="312" t="s">
        <v>111</v>
      </c>
      <c r="D1757" s="314">
        <v>1794</v>
      </c>
      <c r="E1757" s="313" t="s">
        <v>937</v>
      </c>
      <c r="F1757" s="315" t="str">
        <f>IF(IF(A1757="","",COUNTIF(CONSOLIDADO!$A:$A,$A1757))=0,"REVISAR","OK")</f>
        <v>OK</v>
      </c>
    </row>
    <row r="1758" spans="1:6" x14ac:dyDescent="0.2">
      <c r="A1758" s="312" t="s">
        <v>1232</v>
      </c>
      <c r="B1758" s="313" t="s">
        <v>1233</v>
      </c>
      <c r="C1758" s="312" t="s">
        <v>111</v>
      </c>
      <c r="D1758" s="314">
        <v>500</v>
      </c>
      <c r="E1758" s="313" t="s">
        <v>938</v>
      </c>
      <c r="F1758" s="315" t="str">
        <f>IF(IF(A1758="","",COUNTIF(CONSOLIDADO!$A:$A,$A1758))=0,"REVISAR","OK")</f>
        <v>OK</v>
      </c>
    </row>
    <row r="1759" spans="1:6" x14ac:dyDescent="0.2">
      <c r="A1759" s="312" t="s">
        <v>1232</v>
      </c>
      <c r="B1759" s="313" t="s">
        <v>1233</v>
      </c>
      <c r="C1759" s="312" t="s">
        <v>111</v>
      </c>
      <c r="D1759" s="314">
        <v>595</v>
      </c>
      <c r="E1759" s="313" t="s">
        <v>939</v>
      </c>
      <c r="F1759" s="315" t="str">
        <f>IF(IF(A1759="","",COUNTIF(CONSOLIDADO!$A:$A,$A1759))=0,"REVISAR","OK")</f>
        <v>OK</v>
      </c>
    </row>
    <row r="1760" spans="1:6" x14ac:dyDescent="0.2">
      <c r="A1760" s="312" t="s">
        <v>1232</v>
      </c>
      <c r="B1760" s="313" t="s">
        <v>1233</v>
      </c>
      <c r="C1760" s="312" t="s">
        <v>111</v>
      </c>
      <c r="D1760" s="314">
        <v>600</v>
      </c>
      <c r="E1760" s="313" t="s">
        <v>939</v>
      </c>
      <c r="F1760" s="315" t="str">
        <f>IF(IF(A1760="","",COUNTIF(CONSOLIDADO!$A:$A,$A1760))=0,"REVISAR","OK")</f>
        <v>OK</v>
      </c>
    </row>
    <row r="1761" spans="1:6" x14ac:dyDescent="0.2">
      <c r="A1761" s="312" t="s">
        <v>1232</v>
      </c>
      <c r="B1761" s="313" t="s">
        <v>1233</v>
      </c>
      <c r="C1761" s="312" t="s">
        <v>111</v>
      </c>
      <c r="D1761" s="314">
        <v>690</v>
      </c>
      <c r="E1761" s="313" t="s">
        <v>945</v>
      </c>
      <c r="F1761" s="315" t="str">
        <f>IF(IF(A1761="","",COUNTIF(CONSOLIDADO!$A:$A,$A1761))=0,"REVISAR","OK")</f>
        <v>OK</v>
      </c>
    </row>
    <row r="1762" spans="1:6" x14ac:dyDescent="0.2">
      <c r="A1762" s="312" t="s">
        <v>1232</v>
      </c>
      <c r="B1762" s="313" t="s">
        <v>1233</v>
      </c>
      <c r="C1762" s="312" t="s">
        <v>111</v>
      </c>
      <c r="D1762" s="314">
        <v>800</v>
      </c>
      <c r="E1762" s="313" t="s">
        <v>944</v>
      </c>
      <c r="F1762" s="315" t="str">
        <f>IF(IF(A1762="","",COUNTIF(CONSOLIDADO!$A:$A,$A1762))=0,"REVISAR","OK")</f>
        <v>OK</v>
      </c>
    </row>
    <row r="1763" spans="1:6" x14ac:dyDescent="0.2">
      <c r="A1763" s="312" t="s">
        <v>1232</v>
      </c>
      <c r="B1763" s="313" t="s">
        <v>1233</v>
      </c>
      <c r="C1763" s="312" t="s">
        <v>111</v>
      </c>
      <c r="D1763" s="314">
        <v>1200</v>
      </c>
      <c r="E1763" s="313" t="s">
        <v>931</v>
      </c>
      <c r="F1763" s="315" t="str">
        <f>IF(IF(A1763="","",COUNTIF(CONSOLIDADO!$A:$A,$A1763))=0,"REVISAR","OK")</f>
        <v>OK</v>
      </c>
    </row>
    <row r="1764" spans="1:6" x14ac:dyDescent="0.2">
      <c r="A1764" s="312" t="s">
        <v>1234</v>
      </c>
      <c r="B1764" s="313" t="s">
        <v>1235</v>
      </c>
      <c r="C1764" s="312" t="s">
        <v>15</v>
      </c>
      <c r="D1764" s="314">
        <v>2618</v>
      </c>
      <c r="E1764" s="313" t="s">
        <v>929</v>
      </c>
      <c r="F1764" s="315" t="str">
        <f>IF(IF(A1764="","",COUNTIF(CONSOLIDADO!$A:$A,$A1764))=0,"REVISAR","OK")</f>
        <v>OK</v>
      </c>
    </row>
    <row r="1765" spans="1:6" x14ac:dyDescent="0.2">
      <c r="A1765" s="312" t="s">
        <v>1236</v>
      </c>
      <c r="B1765" s="313" t="s">
        <v>1237</v>
      </c>
      <c r="C1765" s="312" t="s">
        <v>15</v>
      </c>
      <c r="D1765" s="314">
        <v>2737</v>
      </c>
      <c r="E1765" s="313" t="s">
        <v>946</v>
      </c>
      <c r="F1765" s="315" t="str">
        <f>IF(IF(A1765="","",COUNTIF(CONSOLIDADO!$A:$A,$A1765))=0,"REVISAR","OK")</f>
        <v>OK</v>
      </c>
    </row>
    <row r="1766" spans="1:6" x14ac:dyDescent="0.2">
      <c r="A1766" s="312" t="s">
        <v>1238</v>
      </c>
      <c r="B1766" s="313" t="s">
        <v>1239</v>
      </c>
      <c r="C1766" s="312" t="s">
        <v>15</v>
      </c>
      <c r="D1766" s="314">
        <v>2280</v>
      </c>
      <c r="E1766" s="313" t="s">
        <v>935</v>
      </c>
      <c r="F1766" s="315" t="str">
        <f>IF(IF(A1766="","",COUNTIF(CONSOLIDADO!$A:$A,$A1766))=0,"REVISAR","OK")</f>
        <v>OK</v>
      </c>
    </row>
    <row r="1767" spans="1:6" x14ac:dyDescent="0.2">
      <c r="A1767" s="312" t="s">
        <v>1238</v>
      </c>
      <c r="B1767" s="313" t="s">
        <v>1239</v>
      </c>
      <c r="C1767" s="312" t="s">
        <v>15</v>
      </c>
      <c r="D1767" s="314">
        <v>2618</v>
      </c>
      <c r="E1767" s="313" t="s">
        <v>929</v>
      </c>
      <c r="F1767" s="315" t="str">
        <f>IF(IF(A1767="","",COUNTIF(CONSOLIDADO!$A:$A,$A1767))=0,"REVISAR","OK")</f>
        <v>OK</v>
      </c>
    </row>
    <row r="1768" spans="1:6" x14ac:dyDescent="0.2">
      <c r="A1768" s="312" t="s">
        <v>1238</v>
      </c>
      <c r="B1768" s="313" t="s">
        <v>1239</v>
      </c>
      <c r="C1768" s="312" t="s">
        <v>15</v>
      </c>
      <c r="D1768" s="314">
        <v>3094</v>
      </c>
      <c r="E1768" s="313" t="s">
        <v>946</v>
      </c>
      <c r="F1768" s="315" t="str">
        <f>IF(IF(A1768="","",COUNTIF(CONSOLIDADO!$A:$A,$A1768))=0,"REVISAR","OK")</f>
        <v>OK</v>
      </c>
    </row>
    <row r="1769" spans="1:6" x14ac:dyDescent="0.2">
      <c r="A1769" s="312" t="s">
        <v>1242</v>
      </c>
      <c r="B1769" s="313" t="s">
        <v>1243</v>
      </c>
      <c r="C1769" s="312" t="s">
        <v>947</v>
      </c>
      <c r="D1769" s="314">
        <v>917</v>
      </c>
      <c r="E1769" s="313" t="s">
        <v>949</v>
      </c>
      <c r="F1769" s="315" t="str">
        <f>IF(IF(A1769="","",COUNTIF(CONSOLIDADO!$A:$A,$A1769))=0,"REVISAR","OK")</f>
        <v>OK</v>
      </c>
    </row>
    <row r="1770" spans="1:6" x14ac:dyDescent="0.2">
      <c r="A1770" s="312" t="s">
        <v>1852</v>
      </c>
      <c r="B1770" s="313" t="s">
        <v>1853</v>
      </c>
      <c r="C1770" s="312" t="s">
        <v>111</v>
      </c>
      <c r="D1770" s="314">
        <v>1071</v>
      </c>
      <c r="E1770" s="313" t="s">
        <v>935</v>
      </c>
      <c r="F1770" s="315" t="str">
        <f>IF(IF(A1770="","",COUNTIF(CONSOLIDADO!$A:$A,$A1770))=0,"REVISAR","OK")</f>
        <v>OK</v>
      </c>
    </row>
    <row r="1771" spans="1:6" x14ac:dyDescent="0.2">
      <c r="A1771" s="312" t="s">
        <v>1244</v>
      </c>
      <c r="B1771" s="313" t="s">
        <v>1245</v>
      </c>
      <c r="C1771" s="312" t="s">
        <v>111</v>
      </c>
      <c r="D1771" s="314">
        <v>773</v>
      </c>
      <c r="E1771" s="313" t="s">
        <v>982</v>
      </c>
      <c r="F1771" s="315" t="str">
        <f>IF(IF(A1771="","",COUNTIF(CONSOLIDADO!$A:$A,$A1771))=0,"REVISAR","OK")</f>
        <v>OK</v>
      </c>
    </row>
    <row r="1772" spans="1:6" x14ac:dyDescent="0.2">
      <c r="A1772" s="312" t="s">
        <v>1244</v>
      </c>
      <c r="B1772" s="313" t="s">
        <v>1245</v>
      </c>
      <c r="C1772" s="312" t="s">
        <v>111</v>
      </c>
      <c r="D1772" s="314">
        <v>1500</v>
      </c>
      <c r="E1772" s="313" t="s">
        <v>2073</v>
      </c>
      <c r="F1772" s="315" t="str">
        <f>IF(IF(A1772="","",COUNTIF(CONSOLIDADO!$A:$A,$A1772))=0,"REVISAR","OK")</f>
        <v>OK</v>
      </c>
    </row>
    <row r="1773" spans="1:6" x14ac:dyDescent="0.2">
      <c r="A1773" s="312" t="s">
        <v>1244</v>
      </c>
      <c r="B1773" s="313" t="s">
        <v>1245</v>
      </c>
      <c r="C1773" s="312" t="s">
        <v>111</v>
      </c>
      <c r="D1773" s="314">
        <v>1500</v>
      </c>
      <c r="E1773" s="313" t="s">
        <v>2210</v>
      </c>
      <c r="F1773" s="315" t="str">
        <f>IF(IF(A1773="","",COUNTIF(CONSOLIDADO!$A:$A,$A1773))=0,"REVISAR","OK")</f>
        <v>OK</v>
      </c>
    </row>
    <row r="1774" spans="1:6" x14ac:dyDescent="0.2">
      <c r="A1774" s="312" t="s">
        <v>1244</v>
      </c>
      <c r="B1774" s="313" t="s">
        <v>1245</v>
      </c>
      <c r="C1774" s="312" t="s">
        <v>111</v>
      </c>
      <c r="D1774" s="314">
        <v>3390</v>
      </c>
      <c r="E1774" s="313" t="s">
        <v>2297</v>
      </c>
      <c r="F1774" s="315" t="str">
        <f>IF(IF(A1774="","",COUNTIF(CONSOLIDADO!$A:$A,$A1774))=0,"REVISAR","OK")</f>
        <v>OK</v>
      </c>
    </row>
    <row r="1775" spans="1:6" x14ac:dyDescent="0.2">
      <c r="A1775" s="312" t="s">
        <v>1244</v>
      </c>
      <c r="B1775" s="313" t="s">
        <v>1245</v>
      </c>
      <c r="C1775" s="312" t="s">
        <v>111</v>
      </c>
      <c r="D1775" s="314">
        <v>17000</v>
      </c>
      <c r="E1775" s="313" t="s">
        <v>2275</v>
      </c>
      <c r="F1775" s="315" t="str">
        <f>IF(IF(A1775="","",COUNTIF(CONSOLIDADO!$A:$A,$A1775))=0,"REVISAR","OK")</f>
        <v>OK</v>
      </c>
    </row>
    <row r="1776" spans="1:6" x14ac:dyDescent="0.2">
      <c r="A1776" s="312" t="s">
        <v>1947</v>
      </c>
      <c r="B1776" s="313" t="s">
        <v>1948</v>
      </c>
      <c r="C1776" s="312" t="s">
        <v>15</v>
      </c>
      <c r="D1776" s="314">
        <v>6069</v>
      </c>
      <c r="E1776" s="313" t="s">
        <v>2146</v>
      </c>
      <c r="F1776" s="315" t="str">
        <f>IF(IF(A1776="","",COUNTIF(CONSOLIDADO!$A:$A,$A1776))=0,"REVISAR","OK")</f>
        <v>OK</v>
      </c>
    </row>
    <row r="1777" spans="1:6" x14ac:dyDescent="0.2">
      <c r="A1777" s="312" t="s">
        <v>1808</v>
      </c>
      <c r="B1777" s="313" t="s">
        <v>1809</v>
      </c>
      <c r="C1777" s="312" t="s">
        <v>111</v>
      </c>
      <c r="D1777" s="314">
        <v>309</v>
      </c>
      <c r="E1777" s="313" t="s">
        <v>982</v>
      </c>
      <c r="F1777" s="315" t="str">
        <f>IF(IF(A1777="","",COUNTIF(CONSOLIDADO!$A:$A,$A1777))=0,"REVISAR","OK")</f>
        <v>OK</v>
      </c>
    </row>
    <row r="1778" spans="1:6" x14ac:dyDescent="0.2">
      <c r="A1778" s="312" t="s">
        <v>1246</v>
      </c>
      <c r="B1778" s="313" t="s">
        <v>1247</v>
      </c>
      <c r="C1778" s="312" t="s">
        <v>111</v>
      </c>
      <c r="D1778" s="314">
        <v>1200</v>
      </c>
      <c r="E1778" s="313" t="s">
        <v>934</v>
      </c>
      <c r="F1778" s="315" t="str">
        <f>IF(IF(A1778="","",COUNTIF(CONSOLIDADO!$A:$A,$A1778))=0,"REVISAR","OK")</f>
        <v>OK</v>
      </c>
    </row>
    <row r="1779" spans="1:6" x14ac:dyDescent="0.2">
      <c r="A1779" s="312" t="s">
        <v>1248</v>
      </c>
      <c r="B1779" s="313" t="s">
        <v>1249</v>
      </c>
      <c r="C1779" s="312" t="s">
        <v>111</v>
      </c>
      <c r="D1779" s="314">
        <v>449</v>
      </c>
      <c r="E1779" s="313" t="s">
        <v>937</v>
      </c>
      <c r="F1779" s="315" t="str">
        <f>IF(IF(A1779="","",COUNTIF(CONSOLIDADO!$A:$A,$A1779))=0,"REVISAR","OK")</f>
        <v>OK</v>
      </c>
    </row>
    <row r="1780" spans="1:6" x14ac:dyDescent="0.2">
      <c r="A1780" s="312" t="s">
        <v>1248</v>
      </c>
      <c r="B1780" s="313" t="s">
        <v>1249</v>
      </c>
      <c r="C1780" s="312" t="s">
        <v>111</v>
      </c>
      <c r="D1780" s="314">
        <v>727</v>
      </c>
      <c r="E1780" s="313" t="s">
        <v>935</v>
      </c>
      <c r="F1780" s="315" t="str">
        <f>IF(IF(A1780="","",COUNTIF(CONSOLIDADO!$A:$A,$A1780))=0,"REVISAR","OK")</f>
        <v>OK</v>
      </c>
    </row>
    <row r="1781" spans="1:6" x14ac:dyDescent="0.2">
      <c r="A1781" s="312" t="s">
        <v>1250</v>
      </c>
      <c r="B1781" s="313" t="s">
        <v>1251</v>
      </c>
      <c r="C1781" s="312" t="s">
        <v>947</v>
      </c>
      <c r="D1781" s="314">
        <v>803</v>
      </c>
      <c r="E1781" s="313" t="s">
        <v>951</v>
      </c>
      <c r="F1781" s="315" t="str">
        <f>IF(IF(A1781="","",COUNTIF(CONSOLIDADO!$A:$A,$A1781))=0,"REVISAR","OK")</f>
        <v>OK</v>
      </c>
    </row>
    <row r="1782" spans="1:6" x14ac:dyDescent="0.2">
      <c r="A1782" s="312" t="s">
        <v>1252</v>
      </c>
      <c r="B1782" s="313" t="s">
        <v>1202</v>
      </c>
      <c r="C1782" s="312" t="s">
        <v>906</v>
      </c>
      <c r="D1782" s="314">
        <v>2000</v>
      </c>
      <c r="E1782" s="313" t="s">
        <v>939</v>
      </c>
      <c r="F1782" s="315" t="str">
        <f>IF(IF(A1782="","",COUNTIF(CONSOLIDADO!$A:$A,$A1782))=0,"REVISAR","OK")</f>
        <v>OK</v>
      </c>
    </row>
    <row r="1783" spans="1:6" x14ac:dyDescent="0.2">
      <c r="A1783" s="312" t="s">
        <v>1252</v>
      </c>
      <c r="B1783" s="313" t="s">
        <v>1202</v>
      </c>
      <c r="C1783" s="312" t="s">
        <v>906</v>
      </c>
      <c r="D1783" s="314">
        <v>2618</v>
      </c>
      <c r="E1783" s="313" t="s">
        <v>939</v>
      </c>
      <c r="F1783" s="315" t="str">
        <f>IF(IF(A1783="","",COUNTIF(CONSOLIDADO!$A:$A,$A1783))=0,"REVISAR","OK")</f>
        <v>OK</v>
      </c>
    </row>
    <row r="1784" spans="1:6" x14ac:dyDescent="0.2">
      <c r="A1784" s="312" t="s">
        <v>1252</v>
      </c>
      <c r="B1784" s="313" t="s">
        <v>1202</v>
      </c>
      <c r="C1784" s="312" t="s">
        <v>906</v>
      </c>
      <c r="D1784" s="314">
        <v>2856</v>
      </c>
      <c r="E1784" s="313" t="s">
        <v>938</v>
      </c>
      <c r="F1784" s="315" t="str">
        <f>IF(IF(A1784="","",COUNTIF(CONSOLIDADO!$A:$A,$A1784))=0,"REVISAR","OK")</f>
        <v>OK</v>
      </c>
    </row>
    <row r="1785" spans="1:6" x14ac:dyDescent="0.2">
      <c r="A1785" s="312" t="s">
        <v>1252</v>
      </c>
      <c r="B1785" s="313" t="s">
        <v>1202</v>
      </c>
      <c r="C1785" s="312" t="s">
        <v>906</v>
      </c>
      <c r="D1785" s="314">
        <v>4522</v>
      </c>
      <c r="E1785" s="313" t="s">
        <v>2146</v>
      </c>
      <c r="F1785" s="315" t="str">
        <f>IF(IF(A1785="","",COUNTIF(CONSOLIDADO!$A:$A,$A1785))=0,"REVISAR","OK")</f>
        <v>OK</v>
      </c>
    </row>
    <row r="1786" spans="1:6" x14ac:dyDescent="0.2">
      <c r="A1786" s="312" t="s">
        <v>2174</v>
      </c>
      <c r="B1786" s="313" t="s">
        <v>2175</v>
      </c>
      <c r="C1786" s="312" t="s">
        <v>15</v>
      </c>
      <c r="D1786" s="314">
        <v>3451</v>
      </c>
      <c r="E1786" s="313" t="s">
        <v>2258</v>
      </c>
      <c r="F1786" s="315" t="str">
        <f>IF(IF(A1786="","",COUNTIF(CONSOLIDADO!$A:$A,$A1786))=0,"REVISAR","OK")</f>
        <v>OK</v>
      </c>
    </row>
    <row r="1787" spans="1:6" x14ac:dyDescent="0.2">
      <c r="A1787" s="312" t="s">
        <v>2158</v>
      </c>
      <c r="B1787" s="313" t="s">
        <v>2159</v>
      </c>
      <c r="C1787" s="312" t="s">
        <v>111</v>
      </c>
      <c r="D1787" s="314">
        <v>5650</v>
      </c>
      <c r="E1787" s="313" t="s">
        <v>2238</v>
      </c>
      <c r="F1787" s="315" t="str">
        <f>IF(IF(A1787="","",COUNTIF(CONSOLIDADO!$A:$A,$A1787))=0,"REVISAR","OK")</f>
        <v>OK</v>
      </c>
    </row>
    <row r="1788" spans="1:6" x14ac:dyDescent="0.2">
      <c r="A1788" s="312" t="s">
        <v>2158</v>
      </c>
      <c r="B1788" s="313" t="s">
        <v>2159</v>
      </c>
      <c r="C1788" s="312" t="s">
        <v>111</v>
      </c>
      <c r="D1788" s="314">
        <v>5749</v>
      </c>
      <c r="E1788" s="313" t="s">
        <v>2238</v>
      </c>
      <c r="F1788" s="315" t="str">
        <f>IF(IF(A1788="","",COUNTIF(CONSOLIDADO!$A:$A,$A1788))=0,"REVISAR","OK")</f>
        <v>OK</v>
      </c>
    </row>
    <row r="1789" spans="1:6" x14ac:dyDescent="0.2">
      <c r="A1789" s="312" t="s">
        <v>2203</v>
      </c>
      <c r="B1789" s="313" t="s">
        <v>2204</v>
      </c>
      <c r="C1789" s="312" t="s">
        <v>947</v>
      </c>
      <c r="D1789" s="314">
        <v>2142</v>
      </c>
      <c r="E1789" s="313" t="s">
        <v>982</v>
      </c>
      <c r="F1789" s="315" t="str">
        <f>IF(IF(A1789="","",COUNTIF(CONSOLIDADO!$A:$A,$A1789))=0,"REVISAR","OK")</f>
        <v>OK</v>
      </c>
    </row>
  </sheetData>
  <mergeCells count="3">
    <mergeCell ref="A1:D1"/>
    <mergeCell ref="A2:E2"/>
    <mergeCell ref="A3:E3"/>
  </mergeCells>
  <conditionalFormatting sqref="F4">
    <cfRule type="expression" dxfId="1" priority="1" stopIfTrue="1">
      <formula>COUNTIF($F:$F,"REVISAR")&gt;0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86"/>
  <sheetViews>
    <sheetView showGridLines="0" workbookViewId="0">
      <selection activeCell="K26" sqref="K26"/>
    </sheetView>
  </sheetViews>
  <sheetFormatPr baseColWidth="10" defaultRowHeight="12.75" x14ac:dyDescent="0.2"/>
  <cols>
    <col min="1" max="1" width="2.85546875" style="386" bestFit="1" customWidth="1"/>
    <col min="2" max="2" width="17.7109375" style="386" bestFit="1" customWidth="1"/>
    <col min="3" max="3" width="69.85546875" style="386" bestFit="1" customWidth="1"/>
    <col min="4" max="4" width="10.140625" style="386" bestFit="1" customWidth="1"/>
    <col min="5" max="5" width="3.5703125" style="386" bestFit="1" customWidth="1"/>
    <col min="6" max="6" width="12.7109375" bestFit="1" customWidth="1"/>
  </cols>
  <sheetData>
    <row r="2" spans="1:6" x14ac:dyDescent="0.2">
      <c r="F2" s="390" t="s">
        <v>2143</v>
      </c>
    </row>
    <row r="3" spans="1:6" x14ac:dyDescent="0.2">
      <c r="A3" s="387" t="s">
        <v>2077</v>
      </c>
      <c r="B3" s="388" t="s">
        <v>2078</v>
      </c>
      <c r="C3" s="388" t="s">
        <v>2079</v>
      </c>
      <c r="D3" s="388" t="s">
        <v>2080</v>
      </c>
      <c r="E3" s="388" t="s">
        <v>18</v>
      </c>
      <c r="F3" s="389" t="s">
        <v>2144</v>
      </c>
    </row>
    <row r="4" spans="1:6" x14ac:dyDescent="0.2">
      <c r="A4" s="527">
        <v>1</v>
      </c>
      <c r="B4" s="528" t="s">
        <v>146</v>
      </c>
      <c r="C4" s="529" t="s">
        <v>2081</v>
      </c>
      <c r="D4" s="530"/>
      <c r="E4" s="531" t="s">
        <v>168</v>
      </c>
      <c r="F4" s="532">
        <v>2400</v>
      </c>
    </row>
    <row r="5" spans="1:6" x14ac:dyDescent="0.2">
      <c r="A5" s="405">
        <v>2</v>
      </c>
      <c r="B5" s="408" t="s">
        <v>2059</v>
      </c>
      <c r="C5" s="409" t="s">
        <v>2082</v>
      </c>
      <c r="D5" s="410"/>
      <c r="E5" s="407" t="s">
        <v>168</v>
      </c>
      <c r="F5" s="411">
        <v>2296</v>
      </c>
    </row>
    <row r="6" spans="1:6" x14ac:dyDescent="0.2">
      <c r="A6" s="405">
        <v>3</v>
      </c>
      <c r="B6" s="410" t="s">
        <v>2029</v>
      </c>
      <c r="C6" s="412" t="s">
        <v>2083</v>
      </c>
      <c r="D6" s="410"/>
      <c r="E6" s="407" t="s">
        <v>168</v>
      </c>
      <c r="F6" s="411">
        <v>1500</v>
      </c>
    </row>
    <row r="7" spans="1:6" x14ac:dyDescent="0.2">
      <c r="A7" s="405">
        <v>4</v>
      </c>
      <c r="B7" s="413" t="s">
        <v>53</v>
      </c>
      <c r="C7" s="412" t="s">
        <v>2084</v>
      </c>
      <c r="D7" s="413" t="s">
        <v>2085</v>
      </c>
      <c r="E7" s="414" t="s">
        <v>15</v>
      </c>
      <c r="F7" s="411">
        <v>1384</v>
      </c>
    </row>
    <row r="8" spans="1:6" x14ac:dyDescent="0.2">
      <c r="A8" s="405">
        <v>5</v>
      </c>
      <c r="B8" s="415" t="s">
        <v>191</v>
      </c>
      <c r="C8" s="416" t="s">
        <v>2086</v>
      </c>
      <c r="D8" s="415"/>
      <c r="E8" s="414" t="s">
        <v>15</v>
      </c>
      <c r="F8" s="411">
        <v>5500</v>
      </c>
    </row>
    <row r="9" spans="1:6" x14ac:dyDescent="0.2">
      <c r="A9" s="405">
        <v>6</v>
      </c>
      <c r="B9" s="410" t="s">
        <v>55</v>
      </c>
      <c r="C9" s="412" t="s">
        <v>394</v>
      </c>
      <c r="D9" s="413" t="s">
        <v>2087</v>
      </c>
      <c r="E9" s="414" t="s">
        <v>15</v>
      </c>
      <c r="F9" s="411">
        <v>1128</v>
      </c>
    </row>
    <row r="10" spans="1:6" x14ac:dyDescent="0.2">
      <c r="A10" s="405">
        <v>7</v>
      </c>
      <c r="B10" s="413" t="s">
        <v>193</v>
      </c>
      <c r="C10" s="412" t="s">
        <v>646</v>
      </c>
      <c r="D10" s="413" t="s">
        <v>2222</v>
      </c>
      <c r="E10" s="414" t="s">
        <v>942</v>
      </c>
      <c r="F10" s="411">
        <v>9990</v>
      </c>
    </row>
    <row r="11" spans="1:6" x14ac:dyDescent="0.2">
      <c r="A11" s="405">
        <v>8</v>
      </c>
      <c r="B11" s="413" t="s">
        <v>57</v>
      </c>
      <c r="C11" s="417" t="s">
        <v>56</v>
      </c>
      <c r="D11" s="413" t="s">
        <v>2088</v>
      </c>
      <c r="E11" s="414" t="s">
        <v>15</v>
      </c>
      <c r="F11" s="411">
        <v>640</v>
      </c>
    </row>
    <row r="12" spans="1:6" x14ac:dyDescent="0.2">
      <c r="A12" s="405">
        <v>9</v>
      </c>
      <c r="B12" s="418" t="s">
        <v>1950</v>
      </c>
      <c r="C12" s="419" t="s">
        <v>2089</v>
      </c>
      <c r="D12" s="413"/>
      <c r="E12" s="414" t="s">
        <v>15</v>
      </c>
      <c r="F12" s="420">
        <v>3990</v>
      </c>
    </row>
    <row r="13" spans="1:6" x14ac:dyDescent="0.2">
      <c r="A13" s="405">
        <v>10</v>
      </c>
      <c r="B13" s="421" t="s">
        <v>185</v>
      </c>
      <c r="C13" s="422" t="s">
        <v>2090</v>
      </c>
      <c r="D13" s="413"/>
      <c r="E13" s="414" t="s">
        <v>15</v>
      </c>
      <c r="F13" s="411">
        <v>3900</v>
      </c>
    </row>
    <row r="14" spans="1:6" x14ac:dyDescent="0.2">
      <c r="A14" s="405">
        <v>11</v>
      </c>
      <c r="B14" s="423" t="s">
        <v>2161</v>
      </c>
      <c r="C14" s="424" t="s">
        <v>2244</v>
      </c>
      <c r="D14" s="413"/>
      <c r="E14" s="414" t="s">
        <v>15</v>
      </c>
      <c r="F14" s="420">
        <v>4100</v>
      </c>
    </row>
    <row r="15" spans="1:6" x14ac:dyDescent="0.2">
      <c r="A15" s="405">
        <v>12</v>
      </c>
      <c r="B15" s="413" t="s">
        <v>298</v>
      </c>
      <c r="C15" s="412" t="s">
        <v>2091</v>
      </c>
      <c r="D15" s="413"/>
      <c r="E15" s="414" t="s">
        <v>15</v>
      </c>
      <c r="F15" s="411">
        <v>2690</v>
      </c>
    </row>
    <row r="16" spans="1:6" x14ac:dyDescent="0.2">
      <c r="A16" s="405">
        <v>13</v>
      </c>
      <c r="B16" s="413" t="s">
        <v>149</v>
      </c>
      <c r="C16" s="412" t="s">
        <v>2092</v>
      </c>
      <c r="D16" s="413" t="s">
        <v>2224</v>
      </c>
      <c r="E16" s="414" t="s">
        <v>168</v>
      </c>
      <c r="F16" s="411">
        <v>2075</v>
      </c>
    </row>
    <row r="17" spans="1:6" x14ac:dyDescent="0.2">
      <c r="A17" s="405">
        <v>14</v>
      </c>
      <c r="B17" s="413" t="s">
        <v>59</v>
      </c>
      <c r="C17" s="417" t="s">
        <v>2093</v>
      </c>
      <c r="D17" s="413"/>
      <c r="E17" s="414" t="s">
        <v>15</v>
      </c>
      <c r="F17" s="411">
        <v>1383</v>
      </c>
    </row>
    <row r="18" spans="1:6" x14ac:dyDescent="0.2">
      <c r="A18" s="405">
        <v>15</v>
      </c>
      <c r="B18" s="406" t="s">
        <v>2225</v>
      </c>
      <c r="C18" s="427" t="s">
        <v>2245</v>
      </c>
      <c r="D18" s="406"/>
      <c r="E18" s="428" t="s">
        <v>15</v>
      </c>
      <c r="F18" s="429">
        <v>1800</v>
      </c>
    </row>
    <row r="19" spans="1:6" x14ac:dyDescent="0.2">
      <c r="A19" s="405">
        <v>16</v>
      </c>
      <c r="B19" s="413" t="s">
        <v>60</v>
      </c>
      <c r="C19" s="417" t="s">
        <v>2094</v>
      </c>
      <c r="D19" s="413"/>
      <c r="E19" s="414" t="s">
        <v>15</v>
      </c>
      <c r="F19" s="411">
        <v>1444</v>
      </c>
    </row>
    <row r="20" spans="1:6" x14ac:dyDescent="0.2">
      <c r="A20" s="405">
        <v>17</v>
      </c>
      <c r="B20" s="413" t="s">
        <v>61</v>
      </c>
      <c r="C20" s="417" t="s">
        <v>2095</v>
      </c>
      <c r="D20" s="413"/>
      <c r="E20" s="414" t="s">
        <v>15</v>
      </c>
      <c r="F20" s="411">
        <v>1495</v>
      </c>
    </row>
    <row r="21" spans="1:6" x14ac:dyDescent="0.2">
      <c r="A21" s="405">
        <v>18</v>
      </c>
      <c r="B21" s="413" t="s">
        <v>105</v>
      </c>
      <c r="C21" s="417" t="s">
        <v>2096</v>
      </c>
      <c r="D21" s="413" t="s">
        <v>2085</v>
      </c>
      <c r="E21" s="414" t="s">
        <v>15</v>
      </c>
      <c r="F21" s="411">
        <v>2035</v>
      </c>
    </row>
    <row r="22" spans="1:6" x14ac:dyDescent="0.2">
      <c r="A22" s="405">
        <v>19</v>
      </c>
      <c r="B22" s="413" t="s">
        <v>302</v>
      </c>
      <c r="C22" s="412" t="s">
        <v>2246</v>
      </c>
      <c r="D22" s="413" t="s">
        <v>2226</v>
      </c>
      <c r="E22" s="414" t="s">
        <v>2097</v>
      </c>
      <c r="F22" s="411">
        <v>2410</v>
      </c>
    </row>
    <row r="23" spans="1:6" x14ac:dyDescent="0.2">
      <c r="A23" s="405">
        <v>20</v>
      </c>
      <c r="B23" s="413" t="s">
        <v>63</v>
      </c>
      <c r="C23" s="417" t="s">
        <v>2098</v>
      </c>
      <c r="D23" s="413"/>
      <c r="E23" s="414" t="s">
        <v>15</v>
      </c>
      <c r="F23" s="411">
        <v>794</v>
      </c>
    </row>
    <row r="24" spans="1:6" x14ac:dyDescent="0.2">
      <c r="A24" s="405">
        <v>21</v>
      </c>
      <c r="B24" s="408" t="s">
        <v>413</v>
      </c>
      <c r="C24" s="412" t="s">
        <v>2247</v>
      </c>
      <c r="D24" s="413" t="s">
        <v>2227</v>
      </c>
      <c r="E24" s="414" t="s">
        <v>2099</v>
      </c>
      <c r="F24" s="411">
        <v>4975</v>
      </c>
    </row>
    <row r="25" spans="1:6" x14ac:dyDescent="0.2">
      <c r="A25" s="405">
        <v>22</v>
      </c>
      <c r="B25" s="413" t="s">
        <v>64</v>
      </c>
      <c r="C25" s="417" t="s">
        <v>2100</v>
      </c>
      <c r="D25" s="413" t="s">
        <v>2085</v>
      </c>
      <c r="E25" s="414" t="s">
        <v>15</v>
      </c>
      <c r="F25" s="411">
        <v>2056</v>
      </c>
    </row>
    <row r="26" spans="1:6" x14ac:dyDescent="0.2">
      <c r="A26" s="405">
        <v>23</v>
      </c>
      <c r="B26" s="413" t="s">
        <v>367</v>
      </c>
      <c r="C26" s="412" t="s">
        <v>2101</v>
      </c>
      <c r="D26" s="413"/>
      <c r="E26" s="414" t="s">
        <v>15</v>
      </c>
      <c r="F26" s="411">
        <v>2021</v>
      </c>
    </row>
    <row r="27" spans="1:6" x14ac:dyDescent="0.2">
      <c r="A27" s="405">
        <v>24</v>
      </c>
      <c r="B27" s="406" t="s">
        <v>354</v>
      </c>
      <c r="C27" s="427" t="s">
        <v>2248</v>
      </c>
      <c r="D27" s="413" t="s">
        <v>2228</v>
      </c>
      <c r="E27" s="414" t="s">
        <v>2223</v>
      </c>
      <c r="F27" s="425" t="s">
        <v>2322</v>
      </c>
    </row>
    <row r="28" spans="1:6" x14ac:dyDescent="0.2">
      <c r="A28" s="405">
        <v>25</v>
      </c>
      <c r="B28" s="413" t="s">
        <v>831</v>
      </c>
      <c r="C28" s="417" t="s">
        <v>13</v>
      </c>
      <c r="D28" s="413"/>
      <c r="E28" s="414" t="s">
        <v>15</v>
      </c>
      <c r="F28" s="426">
        <v>1783</v>
      </c>
    </row>
    <row r="29" spans="1:6" x14ac:dyDescent="0.2">
      <c r="A29" s="405">
        <v>26</v>
      </c>
      <c r="B29" s="413" t="s">
        <v>67</v>
      </c>
      <c r="C29" s="417" t="s">
        <v>2102</v>
      </c>
      <c r="D29" s="413" t="s">
        <v>2103</v>
      </c>
      <c r="E29" s="414" t="s">
        <v>15</v>
      </c>
      <c r="F29" s="411">
        <v>674</v>
      </c>
    </row>
    <row r="30" spans="1:6" x14ac:dyDescent="0.2">
      <c r="A30" s="405">
        <v>27</v>
      </c>
      <c r="B30" s="418" t="s">
        <v>1999</v>
      </c>
      <c r="C30" s="419" t="s">
        <v>2249</v>
      </c>
      <c r="D30" s="408"/>
      <c r="E30" s="430" t="s">
        <v>15</v>
      </c>
      <c r="F30" s="411">
        <v>5115</v>
      </c>
    </row>
    <row r="31" spans="1:6" x14ac:dyDescent="0.2">
      <c r="A31" s="405">
        <v>28</v>
      </c>
      <c r="B31" s="418" t="s">
        <v>2229</v>
      </c>
      <c r="C31" s="419" t="s">
        <v>420</v>
      </c>
      <c r="D31" s="413"/>
      <c r="E31" s="414" t="s">
        <v>15</v>
      </c>
      <c r="F31" s="411">
        <v>4361</v>
      </c>
    </row>
    <row r="32" spans="1:6" x14ac:dyDescent="0.2">
      <c r="A32" s="405">
        <v>29</v>
      </c>
      <c r="B32" s="418" t="s">
        <v>357</v>
      </c>
      <c r="C32" s="419" t="s">
        <v>2104</v>
      </c>
      <c r="D32" s="413"/>
      <c r="E32" s="414" t="s">
        <v>15</v>
      </c>
      <c r="F32" s="411">
        <v>4165</v>
      </c>
    </row>
    <row r="33" spans="1:6" x14ac:dyDescent="0.2">
      <c r="A33" s="405">
        <v>30</v>
      </c>
      <c r="B33" s="413" t="s">
        <v>99</v>
      </c>
      <c r="C33" s="417" t="s">
        <v>422</v>
      </c>
      <c r="D33" s="413"/>
      <c r="E33" s="414" t="s">
        <v>15</v>
      </c>
      <c r="F33" s="420">
        <v>3359</v>
      </c>
    </row>
    <row r="34" spans="1:6" x14ac:dyDescent="0.2">
      <c r="A34" s="405">
        <v>31</v>
      </c>
      <c r="B34" s="413" t="s">
        <v>98</v>
      </c>
      <c r="C34" s="417" t="s">
        <v>2105</v>
      </c>
      <c r="D34" s="413"/>
      <c r="E34" s="414" t="s">
        <v>15</v>
      </c>
      <c r="F34" s="411">
        <v>2678</v>
      </c>
    </row>
    <row r="35" spans="1:6" x14ac:dyDescent="0.2">
      <c r="A35" s="405">
        <v>32</v>
      </c>
      <c r="B35" s="413" t="s">
        <v>187</v>
      </c>
      <c r="C35" s="417" t="s">
        <v>186</v>
      </c>
      <c r="D35" s="413"/>
      <c r="E35" s="414" t="s">
        <v>15</v>
      </c>
      <c r="F35" s="411">
        <v>2374</v>
      </c>
    </row>
    <row r="36" spans="1:6" x14ac:dyDescent="0.2">
      <c r="A36" s="405">
        <v>33</v>
      </c>
      <c r="B36" s="406" t="s">
        <v>2323</v>
      </c>
      <c r="C36" s="427" t="s">
        <v>2324</v>
      </c>
      <c r="D36" s="406"/>
      <c r="E36" s="414" t="s">
        <v>15</v>
      </c>
      <c r="F36" s="411">
        <v>2500</v>
      </c>
    </row>
    <row r="37" spans="1:6" x14ac:dyDescent="0.2">
      <c r="A37" s="405">
        <v>34</v>
      </c>
      <c r="B37" s="406" t="s">
        <v>2209</v>
      </c>
      <c r="C37" s="427" t="s">
        <v>2250</v>
      </c>
      <c r="D37" s="413"/>
      <c r="E37" s="414" t="s">
        <v>15</v>
      </c>
      <c r="F37" s="420">
        <v>1976</v>
      </c>
    </row>
    <row r="38" spans="1:6" x14ac:dyDescent="0.2">
      <c r="A38" s="405">
        <v>35</v>
      </c>
      <c r="B38" s="413" t="s">
        <v>62</v>
      </c>
      <c r="C38" s="412" t="s">
        <v>2106</v>
      </c>
      <c r="D38" s="413" t="s">
        <v>2085</v>
      </c>
      <c r="E38" s="414" t="s">
        <v>15</v>
      </c>
      <c r="F38" s="411">
        <v>2664</v>
      </c>
    </row>
    <row r="39" spans="1:6" x14ac:dyDescent="0.2">
      <c r="A39" s="405">
        <v>36</v>
      </c>
      <c r="B39" s="406" t="s">
        <v>346</v>
      </c>
      <c r="C39" s="427" t="s">
        <v>2251</v>
      </c>
      <c r="D39" s="406"/>
      <c r="E39" s="428" t="s">
        <v>15</v>
      </c>
      <c r="F39" s="426">
        <v>6000</v>
      </c>
    </row>
    <row r="40" spans="1:6" x14ac:dyDescent="0.2">
      <c r="A40" s="405">
        <v>37</v>
      </c>
      <c r="B40" s="406" t="s">
        <v>360</v>
      </c>
      <c r="C40" s="427" t="s">
        <v>2252</v>
      </c>
      <c r="D40" s="432"/>
      <c r="E40" s="433" t="s">
        <v>2099</v>
      </c>
      <c r="F40" s="434">
        <v>2163</v>
      </c>
    </row>
    <row r="41" spans="1:6" x14ac:dyDescent="0.2">
      <c r="A41" s="405">
        <v>38</v>
      </c>
      <c r="B41" s="413" t="s">
        <v>2107</v>
      </c>
      <c r="C41" s="417" t="s">
        <v>2108</v>
      </c>
      <c r="D41" s="413"/>
      <c r="E41" s="414" t="s">
        <v>111</v>
      </c>
      <c r="F41" s="426">
        <v>2065</v>
      </c>
    </row>
    <row r="42" spans="1:6" x14ac:dyDescent="0.2">
      <c r="A42" s="405">
        <v>39</v>
      </c>
      <c r="B42" s="413" t="s">
        <v>2109</v>
      </c>
      <c r="C42" s="417" t="s">
        <v>2110</v>
      </c>
      <c r="D42" s="413"/>
      <c r="E42" s="414" t="s">
        <v>111</v>
      </c>
      <c r="F42" s="411">
        <v>2429</v>
      </c>
    </row>
    <row r="43" spans="1:6" x14ac:dyDescent="0.2">
      <c r="A43" s="405">
        <v>40</v>
      </c>
      <c r="B43" s="413" t="s">
        <v>74</v>
      </c>
      <c r="C43" s="417" t="s">
        <v>2111</v>
      </c>
      <c r="D43" s="413" t="s">
        <v>2112</v>
      </c>
      <c r="E43" s="414" t="s">
        <v>15</v>
      </c>
      <c r="F43" s="411">
        <v>375</v>
      </c>
    </row>
    <row r="44" spans="1:6" x14ac:dyDescent="0.2">
      <c r="A44" s="405">
        <v>41</v>
      </c>
      <c r="B44" s="413" t="s">
        <v>273</v>
      </c>
      <c r="C44" s="412" t="s">
        <v>1966</v>
      </c>
      <c r="D44" s="413"/>
      <c r="E44" s="414" t="s">
        <v>15</v>
      </c>
      <c r="F44" s="411">
        <v>3055</v>
      </c>
    </row>
    <row r="45" spans="1:6" x14ac:dyDescent="0.2">
      <c r="A45" s="405">
        <v>42</v>
      </c>
      <c r="B45" s="413" t="s">
        <v>75</v>
      </c>
      <c r="C45" s="417" t="s">
        <v>2253</v>
      </c>
      <c r="D45" s="413" t="s">
        <v>2113</v>
      </c>
      <c r="E45" s="414" t="s">
        <v>15</v>
      </c>
      <c r="F45" s="411">
        <v>7800</v>
      </c>
    </row>
    <row r="46" spans="1:6" x14ac:dyDescent="0.2">
      <c r="A46" s="405">
        <v>43</v>
      </c>
      <c r="B46" s="413" t="s">
        <v>257</v>
      </c>
      <c r="C46" s="412" t="s">
        <v>2114</v>
      </c>
      <c r="D46" s="413"/>
      <c r="E46" s="414" t="s">
        <v>260</v>
      </c>
      <c r="F46" s="411">
        <v>3480</v>
      </c>
    </row>
    <row r="47" spans="1:6" x14ac:dyDescent="0.2">
      <c r="A47" s="405">
        <v>44</v>
      </c>
      <c r="B47" s="406" t="s">
        <v>365</v>
      </c>
      <c r="C47" s="427" t="s">
        <v>2254</v>
      </c>
      <c r="D47" s="413"/>
      <c r="E47" s="414" t="s">
        <v>15</v>
      </c>
      <c r="F47" s="429">
        <v>6000</v>
      </c>
    </row>
    <row r="48" spans="1:6" x14ac:dyDescent="0.2">
      <c r="A48" s="405">
        <v>45</v>
      </c>
      <c r="B48" s="413" t="s">
        <v>77</v>
      </c>
      <c r="C48" s="417" t="s">
        <v>429</v>
      </c>
      <c r="D48" s="413"/>
      <c r="E48" s="414" t="s">
        <v>15</v>
      </c>
      <c r="F48" s="411">
        <v>4940</v>
      </c>
    </row>
    <row r="49" spans="1:6" x14ac:dyDescent="0.2">
      <c r="A49" s="405">
        <v>46</v>
      </c>
      <c r="B49" s="418" t="s">
        <v>2031</v>
      </c>
      <c r="C49" s="419" t="s">
        <v>2255</v>
      </c>
      <c r="D49" s="418"/>
      <c r="E49" s="431" t="s">
        <v>2115</v>
      </c>
      <c r="F49" s="411">
        <v>5800</v>
      </c>
    </row>
    <row r="50" spans="1:6" x14ac:dyDescent="0.2">
      <c r="A50" s="405">
        <v>47</v>
      </c>
      <c r="B50" s="418" t="s">
        <v>378</v>
      </c>
      <c r="C50" s="419" t="s">
        <v>2116</v>
      </c>
      <c r="D50" s="435"/>
      <c r="E50" s="414" t="s">
        <v>15</v>
      </c>
      <c r="F50" s="411">
        <v>5750</v>
      </c>
    </row>
    <row r="51" spans="1:6" x14ac:dyDescent="0.2">
      <c r="A51" s="405">
        <v>48</v>
      </c>
      <c r="B51" s="413" t="s">
        <v>375</v>
      </c>
      <c r="C51" s="412" t="s">
        <v>2117</v>
      </c>
      <c r="D51" s="435"/>
      <c r="E51" s="414" t="s">
        <v>15</v>
      </c>
      <c r="F51" s="411">
        <v>5990</v>
      </c>
    </row>
    <row r="52" spans="1:6" x14ac:dyDescent="0.2">
      <c r="A52" s="405">
        <v>49</v>
      </c>
      <c r="B52" s="418" t="s">
        <v>379</v>
      </c>
      <c r="C52" s="419" t="s">
        <v>2118</v>
      </c>
      <c r="D52" s="435"/>
      <c r="E52" s="414" t="s">
        <v>15</v>
      </c>
      <c r="F52" s="411">
        <v>5750</v>
      </c>
    </row>
    <row r="53" spans="1:6" x14ac:dyDescent="0.2">
      <c r="A53" s="405">
        <v>50</v>
      </c>
      <c r="B53" s="413" t="s">
        <v>78</v>
      </c>
      <c r="C53" s="412" t="s">
        <v>2119</v>
      </c>
      <c r="D53" s="435"/>
      <c r="E53" s="414" t="s">
        <v>15</v>
      </c>
      <c r="F53" s="411">
        <v>5890</v>
      </c>
    </row>
    <row r="54" spans="1:6" ht="13.5" thickBot="1" x14ac:dyDescent="0.25">
      <c r="A54" s="533">
        <v>51</v>
      </c>
      <c r="B54" s="436" t="s">
        <v>434</v>
      </c>
      <c r="C54" s="437" t="s">
        <v>2120</v>
      </c>
      <c r="D54" s="438"/>
      <c r="E54" s="439" t="s">
        <v>15</v>
      </c>
      <c r="F54" s="440">
        <v>5330</v>
      </c>
    </row>
    <row r="55" spans="1:6" x14ac:dyDescent="0.2">
      <c r="A55" s="382"/>
      <c r="B55" s="383"/>
      <c r="C55" s="383"/>
      <c r="D55" s="383"/>
      <c r="E55" s="383"/>
    </row>
    <row r="56" spans="1:6" x14ac:dyDescent="0.2">
      <c r="A56" s="382"/>
      <c r="B56" s="383"/>
      <c r="C56" s="383"/>
      <c r="D56" s="383"/>
      <c r="E56" s="383"/>
    </row>
    <row r="57" spans="1:6" x14ac:dyDescent="0.2">
      <c r="A57" s="382"/>
      <c r="B57" s="383"/>
      <c r="C57" s="383"/>
      <c r="D57" s="383"/>
      <c r="E57" s="383"/>
    </row>
    <row r="58" spans="1:6" x14ac:dyDescent="0.2">
      <c r="A58" s="382"/>
      <c r="B58" s="383"/>
      <c r="C58" s="383"/>
      <c r="D58" s="383"/>
      <c r="E58" s="383"/>
    </row>
    <row r="59" spans="1:6" x14ac:dyDescent="0.2">
      <c r="A59" s="382"/>
      <c r="B59" s="383"/>
      <c r="C59" s="383"/>
      <c r="D59" s="383"/>
      <c r="E59" s="383"/>
    </row>
    <row r="60" spans="1:6" x14ac:dyDescent="0.2">
      <c r="A60" s="382"/>
      <c r="B60" s="383"/>
      <c r="C60" s="383"/>
      <c r="D60" s="383"/>
      <c r="E60" s="383"/>
    </row>
    <row r="61" spans="1:6" x14ac:dyDescent="0.2">
      <c r="A61" s="382"/>
      <c r="B61" s="383"/>
      <c r="C61" s="383"/>
      <c r="D61" s="383"/>
      <c r="E61" s="383"/>
    </row>
    <row r="62" spans="1:6" x14ac:dyDescent="0.2">
      <c r="A62" s="384" t="s">
        <v>2121</v>
      </c>
      <c r="B62" s="385" t="s">
        <v>2122</v>
      </c>
      <c r="C62" s="383"/>
      <c r="D62" s="383"/>
      <c r="E62" s="383"/>
      <c r="F62" s="390" t="s">
        <v>2143</v>
      </c>
    </row>
    <row r="63" spans="1:6" ht="13.5" thickBot="1" x14ac:dyDescent="0.25">
      <c r="A63" s="387">
        <v>1</v>
      </c>
      <c r="B63" s="388" t="s">
        <v>310</v>
      </c>
      <c r="C63" s="388" t="s">
        <v>2123</v>
      </c>
      <c r="D63" s="388" t="s">
        <v>2085</v>
      </c>
      <c r="E63" s="388" t="s">
        <v>15</v>
      </c>
      <c r="F63" s="389">
        <v>2000</v>
      </c>
    </row>
    <row r="64" spans="1:6" x14ac:dyDescent="0.2">
      <c r="A64" s="534">
        <v>1</v>
      </c>
      <c r="B64" s="535" t="s">
        <v>310</v>
      </c>
      <c r="C64" s="536" t="s">
        <v>2123</v>
      </c>
      <c r="D64" s="535" t="s">
        <v>2085</v>
      </c>
      <c r="E64" s="537" t="s">
        <v>15</v>
      </c>
      <c r="F64" s="538">
        <v>2024</v>
      </c>
    </row>
    <row r="65" spans="1:6" x14ac:dyDescent="0.2">
      <c r="A65" s="405">
        <v>2</v>
      </c>
      <c r="B65" s="413" t="s">
        <v>311</v>
      </c>
      <c r="C65" s="412" t="s">
        <v>400</v>
      </c>
      <c r="D65" s="413" t="s">
        <v>2085</v>
      </c>
      <c r="E65" s="539" t="s">
        <v>15</v>
      </c>
      <c r="F65" s="411">
        <v>2111</v>
      </c>
    </row>
    <row r="66" spans="1:6" x14ac:dyDescent="0.2">
      <c r="A66" s="405">
        <v>3</v>
      </c>
      <c r="B66" s="413" t="s">
        <v>313</v>
      </c>
      <c r="C66" s="417" t="s">
        <v>2124</v>
      </c>
      <c r="D66" s="413" t="s">
        <v>2085</v>
      </c>
      <c r="E66" s="539" t="s">
        <v>15</v>
      </c>
      <c r="F66" s="411">
        <v>2361</v>
      </c>
    </row>
    <row r="67" spans="1:6" x14ac:dyDescent="0.2">
      <c r="A67" s="405">
        <v>4</v>
      </c>
      <c r="B67" s="413" t="s">
        <v>312</v>
      </c>
      <c r="C67" s="412" t="s">
        <v>648</v>
      </c>
      <c r="D67" s="413" t="s">
        <v>2085</v>
      </c>
      <c r="E67" s="539" t="s">
        <v>15</v>
      </c>
      <c r="F67" s="411">
        <v>2024</v>
      </c>
    </row>
    <row r="68" spans="1:6" x14ac:dyDescent="0.2">
      <c r="A68" s="405">
        <v>5</v>
      </c>
      <c r="B68" s="406" t="s">
        <v>2325</v>
      </c>
      <c r="C68" s="427" t="s">
        <v>2326</v>
      </c>
      <c r="D68" s="413" t="s">
        <v>2085</v>
      </c>
      <c r="E68" s="539" t="s">
        <v>15</v>
      </c>
      <c r="F68" s="411">
        <v>3572</v>
      </c>
    </row>
    <row r="69" spans="1:6" x14ac:dyDescent="0.2">
      <c r="A69" s="405">
        <v>6</v>
      </c>
      <c r="B69" s="413" t="s">
        <v>314</v>
      </c>
      <c r="C69" s="412" t="s">
        <v>2125</v>
      </c>
      <c r="D69" s="413" t="s">
        <v>2085</v>
      </c>
      <c r="E69" s="539" t="s">
        <v>15</v>
      </c>
      <c r="F69" s="411">
        <v>2655</v>
      </c>
    </row>
    <row r="70" spans="1:6" x14ac:dyDescent="0.2">
      <c r="A70" s="405">
        <v>7</v>
      </c>
      <c r="B70" s="413" t="s">
        <v>315</v>
      </c>
      <c r="C70" s="412" t="s">
        <v>2126</v>
      </c>
      <c r="D70" s="413" t="s">
        <v>2085</v>
      </c>
      <c r="E70" s="539" t="s">
        <v>15</v>
      </c>
      <c r="F70" s="411">
        <v>2418</v>
      </c>
    </row>
    <row r="71" spans="1:6" x14ac:dyDescent="0.2">
      <c r="A71" s="405">
        <v>8</v>
      </c>
      <c r="B71" s="418" t="s">
        <v>2004</v>
      </c>
      <c r="C71" s="419" t="s">
        <v>2127</v>
      </c>
      <c r="D71" s="418" t="s">
        <v>2128</v>
      </c>
      <c r="E71" s="540" t="s">
        <v>2129</v>
      </c>
      <c r="F71" s="411">
        <v>1057</v>
      </c>
    </row>
    <row r="72" spans="1:6" x14ac:dyDescent="0.2">
      <c r="A72" s="405">
        <v>9</v>
      </c>
      <c r="B72" s="418" t="s">
        <v>2003</v>
      </c>
      <c r="C72" s="419" t="s">
        <v>2130</v>
      </c>
      <c r="D72" s="418" t="s">
        <v>2128</v>
      </c>
      <c r="E72" s="540" t="s">
        <v>2129</v>
      </c>
      <c r="F72" s="411">
        <v>1057</v>
      </c>
    </row>
    <row r="73" spans="1:6" x14ac:dyDescent="0.2">
      <c r="A73" s="405">
        <v>10</v>
      </c>
      <c r="B73" s="413" t="s">
        <v>320</v>
      </c>
      <c r="C73" s="412" t="s">
        <v>317</v>
      </c>
      <c r="D73" s="413" t="s">
        <v>2085</v>
      </c>
      <c r="E73" s="539" t="s">
        <v>15</v>
      </c>
      <c r="F73" s="411">
        <v>4054</v>
      </c>
    </row>
    <row r="74" spans="1:6" x14ac:dyDescent="0.2">
      <c r="A74" s="405">
        <v>11</v>
      </c>
      <c r="B74" s="413" t="s">
        <v>321</v>
      </c>
      <c r="C74" s="412" t="s">
        <v>2131</v>
      </c>
      <c r="D74" s="413" t="s">
        <v>2085</v>
      </c>
      <c r="E74" s="539" t="s">
        <v>15</v>
      </c>
      <c r="F74" s="411">
        <v>4034</v>
      </c>
    </row>
    <row r="75" spans="1:6" x14ac:dyDescent="0.2">
      <c r="A75" s="405">
        <v>12</v>
      </c>
      <c r="B75" s="413" t="s">
        <v>322</v>
      </c>
      <c r="C75" s="417" t="s">
        <v>2132</v>
      </c>
      <c r="D75" s="413" t="s">
        <v>2133</v>
      </c>
      <c r="E75" s="539" t="s">
        <v>15</v>
      </c>
      <c r="F75" s="411">
        <v>4993</v>
      </c>
    </row>
    <row r="76" spans="1:6" x14ac:dyDescent="0.2">
      <c r="A76" s="405">
        <v>13</v>
      </c>
      <c r="B76" s="413" t="s">
        <v>324</v>
      </c>
      <c r="C76" s="412" t="s">
        <v>323</v>
      </c>
      <c r="D76" s="413" t="s">
        <v>2085</v>
      </c>
      <c r="E76" s="539" t="s">
        <v>15</v>
      </c>
      <c r="F76" s="411">
        <v>2941</v>
      </c>
    </row>
    <row r="77" spans="1:6" x14ac:dyDescent="0.2">
      <c r="A77" s="405">
        <v>14</v>
      </c>
      <c r="B77" s="413" t="s">
        <v>325</v>
      </c>
      <c r="C77" s="412" t="s">
        <v>72</v>
      </c>
      <c r="D77" s="413" t="s">
        <v>2085</v>
      </c>
      <c r="E77" s="539" t="s">
        <v>15</v>
      </c>
      <c r="F77" s="411">
        <v>2986</v>
      </c>
    </row>
    <row r="78" spans="1:6" x14ac:dyDescent="0.2">
      <c r="A78" s="405">
        <v>15</v>
      </c>
      <c r="B78" s="413" t="s">
        <v>326</v>
      </c>
      <c r="C78" s="412" t="s">
        <v>73</v>
      </c>
      <c r="D78" s="413" t="s">
        <v>2085</v>
      </c>
      <c r="E78" s="539" t="s">
        <v>15</v>
      </c>
      <c r="F78" s="411">
        <v>2950</v>
      </c>
    </row>
    <row r="79" spans="1:6" x14ac:dyDescent="0.2">
      <c r="A79" s="405">
        <v>16</v>
      </c>
      <c r="B79" s="413" t="s">
        <v>333</v>
      </c>
      <c r="C79" s="412" t="s">
        <v>331</v>
      </c>
      <c r="D79" s="413" t="s">
        <v>2085</v>
      </c>
      <c r="E79" s="539" t="s">
        <v>15</v>
      </c>
      <c r="F79" s="411">
        <v>2590</v>
      </c>
    </row>
    <row r="80" spans="1:6" x14ac:dyDescent="0.2">
      <c r="A80" s="405">
        <v>17</v>
      </c>
      <c r="B80" s="413" t="s">
        <v>335</v>
      </c>
      <c r="C80" s="412" t="s">
        <v>2134</v>
      </c>
      <c r="D80" s="413" t="s">
        <v>2085</v>
      </c>
      <c r="E80" s="539" t="s">
        <v>15</v>
      </c>
      <c r="F80" s="411">
        <v>2490</v>
      </c>
    </row>
    <row r="81" spans="1:6" x14ac:dyDescent="0.2">
      <c r="A81" s="405">
        <v>18</v>
      </c>
      <c r="B81" s="413" t="s">
        <v>334</v>
      </c>
      <c r="C81" s="412" t="s">
        <v>2135</v>
      </c>
      <c r="D81" s="413" t="s">
        <v>2085</v>
      </c>
      <c r="E81" s="539" t="s">
        <v>15</v>
      </c>
      <c r="F81" s="411">
        <v>2453</v>
      </c>
    </row>
    <row r="82" spans="1:6" x14ac:dyDescent="0.2">
      <c r="A82" s="405">
        <v>19</v>
      </c>
      <c r="B82" s="413" t="s">
        <v>336</v>
      </c>
      <c r="C82" s="412" t="s">
        <v>2136</v>
      </c>
      <c r="D82" s="413" t="s">
        <v>2085</v>
      </c>
      <c r="E82" s="539" t="s">
        <v>15</v>
      </c>
      <c r="F82" s="411">
        <v>2413</v>
      </c>
    </row>
    <row r="83" spans="1:6" x14ac:dyDescent="0.2">
      <c r="A83" s="405">
        <v>20</v>
      </c>
      <c r="B83" s="413" t="s">
        <v>337</v>
      </c>
      <c r="C83" s="412" t="s">
        <v>2137</v>
      </c>
      <c r="D83" s="413" t="s">
        <v>2085</v>
      </c>
      <c r="E83" s="539" t="s">
        <v>15</v>
      </c>
      <c r="F83" s="411">
        <v>2570</v>
      </c>
    </row>
    <row r="84" spans="1:6" x14ac:dyDescent="0.2">
      <c r="A84" s="405">
        <v>21</v>
      </c>
      <c r="B84" s="413" t="s">
        <v>338</v>
      </c>
      <c r="C84" s="419" t="s">
        <v>2138</v>
      </c>
      <c r="D84" s="413" t="s">
        <v>2139</v>
      </c>
      <c r="E84" s="539" t="s">
        <v>15</v>
      </c>
      <c r="F84" s="411">
        <v>1874</v>
      </c>
    </row>
    <row r="85" spans="1:6" x14ac:dyDescent="0.2">
      <c r="A85" s="405">
        <v>22</v>
      </c>
      <c r="B85" s="413" t="s">
        <v>340</v>
      </c>
      <c r="C85" s="419" t="s">
        <v>2140</v>
      </c>
      <c r="D85" s="413" t="s">
        <v>2139</v>
      </c>
      <c r="E85" s="539" t="s">
        <v>15</v>
      </c>
      <c r="F85" s="411">
        <v>1858</v>
      </c>
    </row>
    <row r="86" spans="1:6" ht="13.5" thickBot="1" x14ac:dyDescent="0.25">
      <c r="A86" s="533">
        <v>23</v>
      </c>
      <c r="B86" s="541" t="s">
        <v>341</v>
      </c>
      <c r="C86" s="437" t="s">
        <v>2141</v>
      </c>
      <c r="D86" s="541" t="s">
        <v>2142</v>
      </c>
      <c r="E86" s="542" t="s">
        <v>15</v>
      </c>
      <c r="F86" s="440">
        <v>1874</v>
      </c>
    </row>
  </sheetData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2:G32"/>
  <sheetViews>
    <sheetView showGridLines="0" zoomScale="85" zoomScaleNormal="85" workbookViewId="0">
      <selection activeCell="B2" sqref="B2"/>
    </sheetView>
  </sheetViews>
  <sheetFormatPr baseColWidth="10" defaultRowHeight="12.75" x14ac:dyDescent="0.2"/>
  <cols>
    <col min="1" max="1" width="3.7109375" customWidth="1"/>
    <col min="2" max="2" width="23.140625" customWidth="1"/>
    <col min="3" max="5" width="16.7109375" customWidth="1"/>
    <col min="6" max="7" width="19.7109375" customWidth="1"/>
  </cols>
  <sheetData>
    <row r="2" spans="1:7" s="109" customFormat="1" ht="25.5" customHeight="1" x14ac:dyDescent="0.2">
      <c r="B2" s="171" t="s">
        <v>135</v>
      </c>
      <c r="C2" s="171" t="s">
        <v>173</v>
      </c>
      <c r="D2" s="171" t="s">
        <v>174</v>
      </c>
      <c r="E2" s="171" t="s">
        <v>175</v>
      </c>
      <c r="F2" s="171" t="s">
        <v>176</v>
      </c>
    </row>
    <row r="3" spans="1:7" ht="15" customHeight="1" x14ac:dyDescent="0.2">
      <c r="A3" s="306">
        <f>COUNTIF(LUNES!$H:$H,"S/STOCK")</f>
        <v>0</v>
      </c>
      <c r="B3" s="172" t="s">
        <v>2</v>
      </c>
      <c r="C3" s="179">
        <f>+LUNES!$U$10</f>
        <v>380237.79428571434</v>
      </c>
      <c r="D3" s="179">
        <f>+LUNES!$V$10</f>
        <v>442120</v>
      </c>
      <c r="E3" s="179">
        <f>D3-C3</f>
        <v>61882.205714285665</v>
      </c>
      <c r="F3" s="178">
        <f t="shared" ref="F3:F9" si="0">100%-(C3*100%)/D3</f>
        <v>0.13996699021597225</v>
      </c>
    </row>
    <row r="4" spans="1:7" ht="15" customHeight="1" x14ac:dyDescent="0.2">
      <c r="A4" s="306">
        <f>COUNTIF(MARTES!$H:$H,"S/STOCK")</f>
        <v>0</v>
      </c>
      <c r="B4" s="172" t="s">
        <v>3</v>
      </c>
      <c r="C4" s="110">
        <f>+MARTES!$U$10</f>
        <v>335130.31820512819</v>
      </c>
      <c r="D4" s="110">
        <f>+MARTES!$V$10</f>
        <v>442120</v>
      </c>
      <c r="E4" s="110">
        <f t="shared" ref="E4:E9" si="1">D4-C4</f>
        <v>106989.68179487181</v>
      </c>
      <c r="F4" s="178">
        <f t="shared" si="0"/>
        <v>0.24199240431301861</v>
      </c>
    </row>
    <row r="5" spans="1:7" ht="15" customHeight="1" x14ac:dyDescent="0.2">
      <c r="A5" s="306">
        <f>COUNTIF(MIERCOLES!$H:$H,"S/STOCK")</f>
        <v>0</v>
      </c>
      <c r="B5" s="172" t="s">
        <v>4</v>
      </c>
      <c r="C5" s="110">
        <f>+MIERCOLES!$U$10</f>
        <v>440523.43575091579</v>
      </c>
      <c r="D5" s="110">
        <f>+MIERCOLES!$V$10</f>
        <v>442120</v>
      </c>
      <c r="E5" s="110">
        <f t="shared" si="1"/>
        <v>1596.5642490842147</v>
      </c>
      <c r="F5" s="178">
        <f t="shared" si="0"/>
        <v>3.611155905826946E-3</v>
      </c>
    </row>
    <row r="6" spans="1:7" ht="15" customHeight="1" x14ac:dyDescent="0.2">
      <c r="A6" s="306">
        <f>COUNTIF(JUEVES!$H:$H,"S/STOCK")</f>
        <v>0</v>
      </c>
      <c r="B6" s="172" t="s">
        <v>5</v>
      </c>
      <c r="C6" s="110">
        <f>+JUEVES!$U$10</f>
        <v>536783.68476190476</v>
      </c>
      <c r="D6" s="110">
        <f>+JUEVES!$V$10</f>
        <v>442120</v>
      </c>
      <c r="E6" s="110">
        <f t="shared" si="1"/>
        <v>-94663.684761904762</v>
      </c>
      <c r="F6" s="178">
        <f t="shared" si="0"/>
        <v>-0.21411310223899571</v>
      </c>
    </row>
    <row r="7" spans="1:7" ht="15" customHeight="1" x14ac:dyDescent="0.2">
      <c r="A7" s="306">
        <f>COUNTIF(VIERNES!$H:$H,"S/STOCK")</f>
        <v>0</v>
      </c>
      <c r="B7" s="172" t="s">
        <v>6</v>
      </c>
      <c r="C7" s="110">
        <f>+VIERNES!$U$10</f>
        <v>390670.15142857144</v>
      </c>
      <c r="D7" s="110">
        <f>+VIERNES!$V$10</f>
        <v>442120</v>
      </c>
      <c r="E7" s="110">
        <f t="shared" si="1"/>
        <v>51449.848571428563</v>
      </c>
      <c r="F7" s="178">
        <f t="shared" si="0"/>
        <v>0.11637077845704458</v>
      </c>
    </row>
    <row r="8" spans="1:7" ht="15" customHeight="1" x14ac:dyDescent="0.2">
      <c r="A8" s="306">
        <f>COUNTIF(SABADO!$H:$H,"S/STOCK")</f>
        <v>0</v>
      </c>
      <c r="B8" s="172" t="s">
        <v>7</v>
      </c>
      <c r="C8" s="110">
        <f>+SABADO!$U$10</f>
        <v>270744.87868131866</v>
      </c>
      <c r="D8" s="110">
        <f>+SABADO!$V$10</f>
        <v>194320</v>
      </c>
      <c r="E8" s="110">
        <f t="shared" si="1"/>
        <v>-76424.87868131866</v>
      </c>
      <c r="F8" s="178">
        <f t="shared" si="0"/>
        <v>-0.3932939413406682</v>
      </c>
    </row>
    <row r="9" spans="1:7" ht="15" customHeight="1" x14ac:dyDescent="0.2">
      <c r="A9" s="306">
        <f>COUNTIF(DOMINGO!$H:$H,"S/STOCK")</f>
        <v>0</v>
      </c>
      <c r="B9" s="172" t="s">
        <v>8</v>
      </c>
      <c r="C9" s="110">
        <f>+DOMINGO!$U$10</f>
        <v>241697.39714285714</v>
      </c>
      <c r="D9" s="110">
        <f>+DOMINGO!$V$10</f>
        <v>194320</v>
      </c>
      <c r="E9" s="110">
        <f t="shared" si="1"/>
        <v>-47377.397142857139</v>
      </c>
      <c r="F9" s="178">
        <f t="shared" si="0"/>
        <v>-0.24381122448979586</v>
      </c>
    </row>
    <row r="10" spans="1:7" ht="20.25" customHeight="1" x14ac:dyDescent="0.2">
      <c r="B10" s="175" t="s">
        <v>177</v>
      </c>
      <c r="C10" s="176">
        <f>SUM(C3:C9)</f>
        <v>2595787.6602564105</v>
      </c>
      <c r="D10" s="176">
        <f>SUM(D3:D9)</f>
        <v>2599240</v>
      </c>
      <c r="E10" s="176">
        <f>SUM(E3:E9)</f>
        <v>3452.3397435896914</v>
      </c>
      <c r="F10" s="177">
        <f>100%-(C10*100%)/D10</f>
        <v>1.3282112246616462E-3</v>
      </c>
    </row>
    <row r="13" spans="1:7" ht="25.5" customHeight="1" x14ac:dyDescent="0.2">
      <c r="B13" s="171" t="s">
        <v>135</v>
      </c>
      <c r="C13" s="171" t="s">
        <v>632</v>
      </c>
      <c r="D13" s="171" t="s">
        <v>633</v>
      </c>
      <c r="E13" s="171" t="s">
        <v>29</v>
      </c>
      <c r="F13" s="171" t="s">
        <v>634</v>
      </c>
      <c r="G13" s="171" t="s">
        <v>635</v>
      </c>
    </row>
    <row r="14" spans="1:7" ht="15" customHeight="1" x14ac:dyDescent="0.2">
      <c r="B14" s="172" t="s">
        <v>2</v>
      </c>
      <c r="C14" s="92">
        <f>COUNTIF(LUNES!$B$10:$B$103,"*C*")-2</f>
        <v>31</v>
      </c>
      <c r="D14" s="92">
        <f>COUNTIF(LUNES!$B$10:$B$103,"*V*")</f>
        <v>17</v>
      </c>
      <c r="E14" s="92">
        <f>SUM(C14:D14)</f>
        <v>48</v>
      </c>
      <c r="F14" s="173">
        <f>+C14/E14</f>
        <v>0.64583333333333337</v>
      </c>
      <c r="G14" s="173">
        <f>+D14/E14</f>
        <v>0.35416666666666669</v>
      </c>
    </row>
    <row r="15" spans="1:7" ht="15" customHeight="1" x14ac:dyDescent="0.2">
      <c r="B15" s="172" t="s">
        <v>3</v>
      </c>
      <c r="C15" s="92">
        <f>COUNTIF(MARTES!$B$10:$B$102,"*C*")-2</f>
        <v>29</v>
      </c>
      <c r="D15" s="92">
        <f>COUNTIF(MARTES!$B$10:$B$102,"*V*")</f>
        <v>18</v>
      </c>
      <c r="E15" s="92">
        <f t="shared" ref="E15:E20" si="2">SUM(C15:D15)</f>
        <v>47</v>
      </c>
      <c r="F15" s="173">
        <f t="shared" ref="F15:F20" si="3">+C15/E15</f>
        <v>0.61702127659574468</v>
      </c>
      <c r="G15" s="173">
        <f t="shared" ref="G15:G20" si="4">+D15/E15</f>
        <v>0.38297872340425532</v>
      </c>
    </row>
    <row r="16" spans="1:7" ht="15" customHeight="1" x14ac:dyDescent="0.2">
      <c r="B16" s="172" t="s">
        <v>4</v>
      </c>
      <c r="C16" s="92">
        <f>COUNTIF(MIERCOLES!$B$10:$B$104,"*C*")-2</f>
        <v>31</v>
      </c>
      <c r="D16" s="92">
        <f>COUNTIF(MIERCOLES!$B$10:$B$104,"*V*")</f>
        <v>18</v>
      </c>
      <c r="E16" s="92">
        <f t="shared" si="2"/>
        <v>49</v>
      </c>
      <c r="F16" s="173">
        <f t="shared" si="3"/>
        <v>0.63265306122448983</v>
      </c>
      <c r="G16" s="173">
        <f t="shared" si="4"/>
        <v>0.36734693877551022</v>
      </c>
    </row>
    <row r="17" spans="2:7" ht="15" customHeight="1" x14ac:dyDescent="0.2">
      <c r="B17" s="172" t="s">
        <v>5</v>
      </c>
      <c r="C17" s="92">
        <f>COUNTIF(JUEVES!$B$10:$B$112,"*C*")-2</f>
        <v>34</v>
      </c>
      <c r="D17" s="92">
        <f>COUNTIF(JUEVES!$B$10:$B$112,"*V*")</f>
        <v>23</v>
      </c>
      <c r="E17" s="92">
        <f t="shared" si="2"/>
        <v>57</v>
      </c>
      <c r="F17" s="173">
        <f t="shared" si="3"/>
        <v>0.59649122807017541</v>
      </c>
      <c r="G17" s="173">
        <f t="shared" si="4"/>
        <v>0.40350877192982454</v>
      </c>
    </row>
    <row r="18" spans="2:7" ht="15" customHeight="1" x14ac:dyDescent="0.2">
      <c r="B18" s="172" t="s">
        <v>6</v>
      </c>
      <c r="C18" s="92">
        <f>COUNTIF(VIERNES!$B$10:$B$99,"*C*")-2</f>
        <v>30</v>
      </c>
      <c r="D18" s="92">
        <f>COUNTIF(VIERNES!$B$10:$B$99,"*V*")</f>
        <v>16</v>
      </c>
      <c r="E18" s="92">
        <f t="shared" si="2"/>
        <v>46</v>
      </c>
      <c r="F18" s="173">
        <f t="shared" si="3"/>
        <v>0.65217391304347827</v>
      </c>
      <c r="G18" s="173">
        <f t="shared" si="4"/>
        <v>0.34782608695652173</v>
      </c>
    </row>
    <row r="19" spans="2:7" ht="15" customHeight="1" x14ac:dyDescent="0.2">
      <c r="B19" s="172" t="s">
        <v>7</v>
      </c>
      <c r="C19" s="92">
        <f>COUNTIF(SABADO!$B$10:$B$98,"*C*")-2</f>
        <v>28</v>
      </c>
      <c r="D19" s="92">
        <f>COUNTIF(SABADO!$B$10:$B$98,"*V*")</f>
        <v>18</v>
      </c>
      <c r="E19" s="92">
        <f t="shared" si="2"/>
        <v>46</v>
      </c>
      <c r="F19" s="173">
        <f t="shared" si="3"/>
        <v>0.60869565217391308</v>
      </c>
      <c r="G19" s="173">
        <f t="shared" si="4"/>
        <v>0.39130434782608697</v>
      </c>
    </row>
    <row r="20" spans="2:7" ht="15" customHeight="1" x14ac:dyDescent="0.2">
      <c r="B20" s="172" t="s">
        <v>8</v>
      </c>
      <c r="C20" s="92">
        <f>COUNTIF(DOMINGO!$B$10:$B$94,"*C*")-2</f>
        <v>26</v>
      </c>
      <c r="D20" s="92">
        <f>COUNTIF(DOMINGO!$B$10:$B$94,"*V*")</f>
        <v>13</v>
      </c>
      <c r="E20" s="92">
        <f t="shared" si="2"/>
        <v>39</v>
      </c>
      <c r="F20" s="173">
        <f t="shared" si="3"/>
        <v>0.66666666666666663</v>
      </c>
      <c r="G20" s="173">
        <f t="shared" si="4"/>
        <v>0.33333333333333331</v>
      </c>
    </row>
    <row r="21" spans="2:7" ht="20.25" customHeight="1" x14ac:dyDescent="0.2">
      <c r="B21" s="607" t="s">
        <v>636</v>
      </c>
      <c r="C21" s="607"/>
      <c r="D21" s="607"/>
      <c r="E21" s="607"/>
      <c r="F21" s="174">
        <f>AVERAGE(F14:F20)</f>
        <v>0.63136216158682879</v>
      </c>
      <c r="G21" s="174">
        <f>AVERAGE(G14:G20)</f>
        <v>0.36863783841317127</v>
      </c>
    </row>
    <row r="24" spans="2:7" ht="25.5" customHeight="1" x14ac:dyDescent="0.2">
      <c r="B24" s="171" t="s">
        <v>135</v>
      </c>
      <c r="C24" s="171" t="s">
        <v>632</v>
      </c>
      <c r="D24" s="171" t="s">
        <v>633</v>
      </c>
      <c r="E24" s="171" t="s">
        <v>29</v>
      </c>
      <c r="F24" s="171" t="s">
        <v>634</v>
      </c>
      <c r="G24" s="171" t="s">
        <v>635</v>
      </c>
    </row>
    <row r="25" spans="2:7" ht="15" customHeight="1" x14ac:dyDescent="0.2">
      <c r="B25" s="172" t="s">
        <v>2</v>
      </c>
      <c r="C25" s="179">
        <f>SUMIF(LUNES!$B$10:$B$103,"*C*",LUNES!$J$10:$J$103)</f>
        <v>268844.47039999999</v>
      </c>
      <c r="D25" s="179">
        <f>SUMIF(LUNES!$B$10:$B$103,"*V*",LUNES!$J$10:$J$103)</f>
        <v>123869.4838857143</v>
      </c>
      <c r="E25" s="179">
        <f>SUM(C25:D25)</f>
        <v>392713.95428571431</v>
      </c>
      <c r="F25" s="173">
        <f>IF($C25=0,0,C25/E25)</f>
        <v>0.68458089524469867</v>
      </c>
      <c r="G25" s="173">
        <f>IF($D25=0,0,D25/E25)</f>
        <v>0.31541910475530122</v>
      </c>
    </row>
    <row r="26" spans="2:7" ht="15" customHeight="1" x14ac:dyDescent="0.2">
      <c r="B26" s="172" t="s">
        <v>3</v>
      </c>
      <c r="C26" s="110">
        <f>SUMIF(MARTES!$B$10:$B$97,"*C*",MARTES!$J$10:$J$97)</f>
        <v>221136.73706666665</v>
      </c>
      <c r="D26" s="110">
        <f>SUMIF(MARTES!$B$10:$B$97,"*V*",MARTES!$J$10:$J$97)</f>
        <v>138774.55344615385</v>
      </c>
      <c r="E26" s="110">
        <f t="shared" ref="E26:E31" si="5">SUM(C26:D26)</f>
        <v>359911.29051282047</v>
      </c>
      <c r="F26" s="173">
        <f t="shared" ref="F26:F31" si="6">IF($C26=0,0,C26/E26)</f>
        <v>0.61442011655588646</v>
      </c>
      <c r="G26" s="173">
        <f t="shared" ref="G26:G31" si="7">IF($D26=0,0,D26/E26)</f>
        <v>0.38557988344411365</v>
      </c>
    </row>
    <row r="27" spans="2:7" ht="15" customHeight="1" x14ac:dyDescent="0.2">
      <c r="B27" s="172" t="s">
        <v>4</v>
      </c>
      <c r="C27" s="110">
        <f>SUMIF(MIERCOLES!$B$10:$B$101,"*C*",MIERCOLES!$J$10:$J$101)</f>
        <v>373810.32373333338</v>
      </c>
      <c r="D27" s="110">
        <f>SUMIF(MIERCOLES!$B$10:$B$101,"*V*",MIERCOLES!$J$10:$J$101)</f>
        <v>118751.93487472528</v>
      </c>
      <c r="E27" s="110">
        <f t="shared" si="5"/>
        <v>492562.25860805868</v>
      </c>
      <c r="F27" s="173">
        <f t="shared" si="6"/>
        <v>0.75890979708776574</v>
      </c>
      <c r="G27" s="173">
        <f t="shared" si="7"/>
        <v>0.24109020291223426</v>
      </c>
    </row>
    <row r="28" spans="2:7" ht="15" customHeight="1" x14ac:dyDescent="0.2">
      <c r="B28" s="172" t="s">
        <v>5</v>
      </c>
      <c r="C28" s="110">
        <f>SUMIF(JUEVES!$B$10:$B$94,"*C*",JUEVES!$J$10:$J$94)</f>
        <v>363295.10373333335</v>
      </c>
      <c r="D28" s="110">
        <f>SUMIF(JUEVES!$B$10:$B$94,"*V*",JUEVES!$J$10:$J$94)</f>
        <v>185964.74102857141</v>
      </c>
      <c r="E28" s="110">
        <f t="shared" si="5"/>
        <v>549259.84476190479</v>
      </c>
      <c r="F28" s="173">
        <f t="shared" si="6"/>
        <v>0.66142665843489046</v>
      </c>
      <c r="G28" s="173">
        <f t="shared" si="7"/>
        <v>0.33857334156510949</v>
      </c>
    </row>
    <row r="29" spans="2:7" ht="15" customHeight="1" x14ac:dyDescent="0.2">
      <c r="B29" s="172" t="s">
        <v>6</v>
      </c>
      <c r="C29" s="110">
        <f>SUMIF(VIERNES!$B$10:$B$96,"*C*",VIERNES!$J$10:$J$96)</f>
        <v>314979.29040000006</v>
      </c>
      <c r="D29" s="110">
        <f>SUMIF(VIERNES!$B$10:$B$96,"*V*",VIERNES!$J$10:$J$96)</f>
        <v>88167.021028571413</v>
      </c>
      <c r="E29" s="110">
        <f t="shared" si="5"/>
        <v>403146.31142857147</v>
      </c>
      <c r="F29" s="173">
        <f t="shared" si="6"/>
        <v>0.78130267218334049</v>
      </c>
      <c r="G29" s="173">
        <f t="shared" si="7"/>
        <v>0.21869732781665954</v>
      </c>
    </row>
    <row r="30" spans="2:7" ht="15" customHeight="1" x14ac:dyDescent="0.2">
      <c r="B30" s="172" t="s">
        <v>7</v>
      </c>
      <c r="C30" s="110">
        <f>SUMIF(SABADO!$B$10:$B$92,"*C*",SABADO!$J$10:$J$92)</f>
        <v>203117.3504</v>
      </c>
      <c r="D30" s="110">
        <f>SUMIF(SABADO!$B$10:$B$92,"*V*",SABADO!$J$10:$J$92)</f>
        <v>80103.688281318682</v>
      </c>
      <c r="E30" s="110">
        <f t="shared" si="5"/>
        <v>283221.03868131869</v>
      </c>
      <c r="F30" s="173">
        <f t="shared" si="6"/>
        <v>0.71716900462521205</v>
      </c>
      <c r="G30" s="173">
        <f t="shared" si="7"/>
        <v>0.28283099537478795</v>
      </c>
    </row>
    <row r="31" spans="2:7" ht="15" customHeight="1" x14ac:dyDescent="0.2">
      <c r="B31" s="172" t="s">
        <v>8</v>
      </c>
      <c r="C31" s="110">
        <f>SUMIF(DOMINGO!$B$10:$B$90,"*C*",DOMINGO!$J$10:$J$90)</f>
        <v>178735.75039999996</v>
      </c>
      <c r="D31" s="110">
        <f>SUMIF(DOMINGO!$B$10:$B$90,"*V*",DOMINGO!$J$10:$J$90)</f>
        <v>75437.806742857138</v>
      </c>
      <c r="E31" s="110">
        <f t="shared" si="5"/>
        <v>254173.55714285711</v>
      </c>
      <c r="F31" s="173">
        <f t="shared" si="6"/>
        <v>0.70320356062665612</v>
      </c>
      <c r="G31" s="173">
        <f t="shared" si="7"/>
        <v>0.29679643937334382</v>
      </c>
    </row>
    <row r="32" spans="2:7" ht="20.25" customHeight="1" x14ac:dyDescent="0.2">
      <c r="B32" s="607" t="s">
        <v>636</v>
      </c>
      <c r="C32" s="607"/>
      <c r="D32" s="607"/>
      <c r="E32" s="607"/>
      <c r="F32" s="174">
        <f>AVERAGE(F25:F31)</f>
        <v>0.70300181496549285</v>
      </c>
      <c r="G32" s="174">
        <f>AVERAGE(G25:G31)</f>
        <v>0.29699818503450715</v>
      </c>
    </row>
  </sheetData>
  <mergeCells count="2">
    <mergeCell ref="B21:E21"/>
    <mergeCell ref="B32:E32"/>
  </mergeCells>
  <phoneticPr fontId="3" type="noConversion"/>
  <conditionalFormatting sqref="B3:B9">
    <cfRule type="expression" dxfId="0" priority="1">
      <formula>$A3&lt;&gt;0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14</vt:i4>
      </vt:variant>
    </vt:vector>
  </HeadingPairs>
  <TitlesOfParts>
    <vt:vector size="31" baseType="lpstr">
      <vt:lpstr>MENU COMÚN</vt:lpstr>
      <vt:lpstr>NOTAS</vt:lpstr>
      <vt:lpstr>LUNES</vt:lpstr>
      <vt:lpstr>MARTES</vt:lpstr>
      <vt:lpstr>MIERCOLES</vt:lpstr>
      <vt:lpstr>JUEVES</vt:lpstr>
      <vt:lpstr>VIERNES</vt:lpstr>
      <vt:lpstr>SABADO</vt:lpstr>
      <vt:lpstr>DOMINGO</vt:lpstr>
      <vt:lpstr>KCAL. Y MACRONUTRIENTES TOTALES</vt:lpstr>
      <vt:lpstr>NSN</vt:lpstr>
      <vt:lpstr>CODIGOS</vt:lpstr>
      <vt:lpstr>INSUMOS TOTALES</vt:lpstr>
      <vt:lpstr>CONSOLIDADO</vt:lpstr>
      <vt:lpstr>PRECIOS VICTOR</vt:lpstr>
      <vt:lpstr>BOLETIN</vt:lpstr>
      <vt:lpstr>DISPONIBILIDAD</vt:lpstr>
      <vt:lpstr>CODIGOS!Área_de_impresión</vt:lpstr>
      <vt:lpstr>DOMINGO!Área_de_impresión</vt:lpstr>
      <vt:lpstr>JUEVES!Área_de_impresión</vt:lpstr>
      <vt:lpstr>'KCAL. Y MACRONUTRIENTES TOTALES'!Área_de_impresión</vt:lpstr>
      <vt:lpstr>LUNES!Área_de_impresión</vt:lpstr>
      <vt:lpstr>MARTES!Área_de_impresión</vt:lpstr>
      <vt:lpstr>'MENU COMÚN'!Área_de_impresión</vt:lpstr>
      <vt:lpstr>MIERCOLES!Área_de_impresión</vt:lpstr>
      <vt:lpstr>NSN!Área_de_impresión</vt:lpstr>
      <vt:lpstr>SABADO!Área_de_impresión</vt:lpstr>
      <vt:lpstr>VIERNES!Área_de_impresión</vt:lpstr>
      <vt:lpstr>Excel_BuiltIn__FilterDatabase_11</vt:lpstr>
      <vt:lpstr>Excel_BuiltIn__FilterDatabase_3</vt:lpstr>
      <vt:lpstr>INGREDIENTES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 4.2 PRO</dc:creator>
  <cp:lastModifiedBy>16812385-k</cp:lastModifiedBy>
  <cp:revision>1</cp:revision>
  <cp:lastPrinted>2025-05-22T16:04:07Z</cp:lastPrinted>
  <dcterms:created xsi:type="dcterms:W3CDTF">1999-08-18T19:40:21Z</dcterms:created>
  <dcterms:modified xsi:type="dcterms:W3CDTF">2025-07-21T14:09:22Z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1047dbd-8090-45a6-8618-d1bf833905a1_Enabled">
    <vt:lpwstr>true</vt:lpwstr>
  </property>
  <property fmtid="{D5CDD505-2E9C-101B-9397-08002B2CF9AE}" pid="3" name="MSIP_Label_61047dbd-8090-45a6-8618-d1bf833905a1_SetDate">
    <vt:lpwstr>2022-11-29T13:40:53Z</vt:lpwstr>
  </property>
  <property fmtid="{D5CDD505-2E9C-101B-9397-08002B2CF9AE}" pid="4" name="MSIP_Label_61047dbd-8090-45a6-8618-d1bf833905a1_Method">
    <vt:lpwstr>Privileged</vt:lpwstr>
  </property>
  <property fmtid="{D5CDD505-2E9C-101B-9397-08002B2CF9AE}" pid="5" name="MSIP_Label_61047dbd-8090-45a6-8618-d1bf833905a1_Name">
    <vt:lpwstr>61047dbd-8090-45a6-8618-d1bf833905a1</vt:lpwstr>
  </property>
  <property fmtid="{D5CDD505-2E9C-101B-9397-08002B2CF9AE}" pid="6" name="MSIP_Label_61047dbd-8090-45a6-8618-d1bf833905a1_SiteId">
    <vt:lpwstr>85599d7a-6793-4bdb-a7f9-348037d4e472</vt:lpwstr>
  </property>
  <property fmtid="{D5CDD505-2E9C-101B-9397-08002B2CF9AE}" pid="7" name="MSIP_Label_61047dbd-8090-45a6-8618-d1bf833905a1_ActionId">
    <vt:lpwstr>0a2860dc-bdb1-4380-9133-add6cbca21d7</vt:lpwstr>
  </property>
  <property fmtid="{D5CDD505-2E9C-101B-9397-08002B2CF9AE}" pid="8" name="MSIP_Label_61047dbd-8090-45a6-8618-d1bf833905a1_ContentBits">
    <vt:lpwstr>0</vt:lpwstr>
  </property>
</Properties>
</file>